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emf" ContentType="image/x-emf"/>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990" yWindow="-135" windowWidth="20730" windowHeight="11760" activeTab="3"/>
  </bookViews>
  <sheets>
    <sheet name="7PSourceSummary" sheetId="20" r:id="rId1"/>
    <sheet name="forRPM" sheetId="26" r:id="rId2"/>
    <sheet name="SC-New" sheetId="9" r:id="rId3"/>
    <sheet name="SC-Retro" sheetId="8" r:id="rId4"/>
    <sheet name="Units Per Home" sheetId="6" r:id="rId5"/>
    <sheet name="Accomplishments" sheetId="23" r:id="rId6"/>
    <sheet name="SFshowerhead" sheetId="10" r:id="rId7"/>
    <sheet name="MHshowerhead" sheetId="11" r:id="rId8"/>
    <sheet name="MFunit_showerheads" sheetId="12" r:id="rId9"/>
    <sheet name="M_Input_Out" sheetId="25" r:id="rId10"/>
    <sheet name="M_Input" sheetId="3" r:id="rId11"/>
    <sheet name="Increment" sheetId="19" r:id="rId12"/>
    <sheet name="Raw" sheetId="18" r:id="rId13"/>
    <sheet name="SFResidential Analysis" sheetId="15" r:id="rId14"/>
    <sheet name="MFResidential Analysis" sheetId="29" r:id="rId15"/>
    <sheet name="MHResidential Analysis" sheetId="30" r:id="rId16"/>
    <sheet name="SF Input Assumptions" sheetId="14" r:id="rId17"/>
    <sheet name="MF Input Assumptions" sheetId="27" r:id="rId18"/>
    <sheet name="MH Input Assumptions" sheetId="28" r:id="rId19"/>
    <sheet name="WasteWater System Savings" sheetId="24" r:id="rId20"/>
  </sheets>
  <externalReferences>
    <externalReference r:id="rId21"/>
    <externalReference r:id="rId22"/>
    <externalReference r:id="rId23"/>
  </externalReferences>
  <definedNames>
    <definedName name="_xlnm._FilterDatabase" localSheetId="19" hidden="1">'WasteWater System Savings'!#REF!</definedName>
    <definedName name="_Key1" localSheetId="0" hidden="1">#REF!</definedName>
    <definedName name="_Key1" localSheetId="17" hidden="1">#REF!</definedName>
    <definedName name="_Key1" localSheetId="14" hidden="1">#REF!</definedName>
    <definedName name="_Key1" localSheetId="18" hidden="1">#REF!</definedName>
    <definedName name="_Key1" localSheetId="15" hidden="1">#REF!</definedName>
    <definedName name="_Key1" localSheetId="2" hidden="1">#REF!</definedName>
    <definedName name="_Key1" localSheetId="3" hidden="1">#REF!</definedName>
    <definedName name="_Key1" localSheetId="16" hidden="1">#REF!</definedName>
    <definedName name="_Key1" localSheetId="13" hidden="1">#REF!</definedName>
    <definedName name="_Key1" localSheetId="19" hidden="1">#REF!</definedName>
    <definedName name="_Key1" hidden="1">#REF!</definedName>
    <definedName name="_Key1old" localSheetId="0" hidden="1">#REF!</definedName>
    <definedName name="_Key1old" localSheetId="17" hidden="1">#REF!</definedName>
    <definedName name="_Key1old" localSheetId="14" hidden="1">#REF!</definedName>
    <definedName name="_Key1old" localSheetId="18" hidden="1">#REF!</definedName>
    <definedName name="_Key1old" localSheetId="15" hidden="1">#REF!</definedName>
    <definedName name="_Key1old" localSheetId="19" hidden="1">#REF!</definedName>
    <definedName name="_Key1old" hidden="1">#REF!</definedName>
    <definedName name="_Order1" hidden="1">255</definedName>
    <definedName name="_Sort" localSheetId="0" hidden="1">#REF!</definedName>
    <definedName name="_Sort" localSheetId="17" hidden="1">#REF!</definedName>
    <definedName name="_Sort" localSheetId="14" hidden="1">#REF!</definedName>
    <definedName name="_Sort" localSheetId="18" hidden="1">#REF!</definedName>
    <definedName name="_Sort" localSheetId="15" hidden="1">#REF!</definedName>
    <definedName name="_Sort" localSheetId="2" hidden="1">#REF!</definedName>
    <definedName name="_Sort" localSheetId="3" hidden="1">#REF!</definedName>
    <definedName name="_Sort" localSheetId="16" hidden="1">#REF!</definedName>
    <definedName name="_Sort" localSheetId="13" hidden="1">#REF!</definedName>
    <definedName name="_Sort" localSheetId="19" hidden="1">#REF!</definedName>
    <definedName name="_Sort" hidden="1">#REF!</definedName>
    <definedName name="_SortOld" localSheetId="0" hidden="1">#REF!</definedName>
    <definedName name="_SortOld" localSheetId="17" hidden="1">#REF!</definedName>
    <definedName name="_SortOld" localSheetId="14" hidden="1">#REF!</definedName>
    <definedName name="_SortOld" localSheetId="18" hidden="1">#REF!</definedName>
    <definedName name="_SortOld" localSheetId="15" hidden="1">#REF!</definedName>
    <definedName name="_SortOld" localSheetId="19" hidden="1">#REF!</definedName>
    <definedName name="_SortOld" hidden="1">#REF!</definedName>
    <definedName name="ActualFlowRate" localSheetId="17">'MF Input Assumptions'!$A$22</definedName>
    <definedName name="ActualFlowRate" localSheetId="18">'MH Input Assumptions'!$A$22</definedName>
    <definedName name="ActualFlowRate">'SF Input Assumptions'!$A$22</definedName>
    <definedName name="AnnualOcc" localSheetId="14">'MFResidential Analysis'!$C$12:$W$12</definedName>
    <definedName name="AnnualOcc" localSheetId="15">'MHResidential Analysis'!$C$12:$W$12</definedName>
    <definedName name="AnnualOcc">'SFResidential Analysis'!$C$12:$W$12</definedName>
    <definedName name="anscount" hidden="1">1</definedName>
    <definedName name="BaseFlowRate" localSheetId="14">'MFResidential Analysis'!$C$16:$L$16</definedName>
    <definedName name="BaseFlowRate" localSheetId="15">'MHResidential Analysis'!$C$16:$L$16</definedName>
    <definedName name="BaseFlowRate">'SFResidential Analysis'!$C$16:$L$16</definedName>
    <definedName name="CBWorkbookPriority" hidden="1">-738590518</definedName>
    <definedName name="Costs" localSheetId="17">'MF Input Assumptions'!$A$53</definedName>
    <definedName name="Costs" localSheetId="18">'MH Input Assumptions'!$A$53</definedName>
    <definedName name="Costs">'SF Input Assumptions'!$A$53</definedName>
    <definedName name="DeltaTemp" localSheetId="14">'MFResidential Analysis'!$C$18:$W$18</definedName>
    <definedName name="DeltaTemp" localSheetId="15">'MHResidential Analysis'!$C$18:$W$18</definedName>
    <definedName name="DeltaTemp">'SFResidential Analysis'!$C$18:$W$18</definedName>
    <definedName name="DHWEfficiency" localSheetId="17">'MF Input Assumptions'!$D$12:$D$13</definedName>
    <definedName name="DHWEfficiency" localSheetId="18">'MH Input Assumptions'!$D$12:$D$13</definedName>
    <definedName name="DHWEfficiency">'SF Input Assumptions'!$D$12:$D$13</definedName>
    <definedName name="HotWaterPercent" localSheetId="17">'MF Input Assumptions'!$F$26:$F$29</definedName>
    <definedName name="HotWaterPercent" localSheetId="18">'MH Input Assumptions'!$F$26:$F$29</definedName>
    <definedName name="HotWaterPercent">'SF Input Assumptions'!$F$26:$F$29</definedName>
    <definedName name="InSituFlowRate" localSheetId="17">'MF Input Assumptions'!$B$27:$B$29</definedName>
    <definedName name="InSituFlowRate" localSheetId="18">'MH Input Assumptions'!$B$27:$B$29</definedName>
    <definedName name="InSituFlowRate">'SF Input Assumptions'!$B$27:$B$29</definedName>
    <definedName name="InstallationRates" localSheetId="17">'MF Input Assumptions'!$A$62</definedName>
    <definedName name="InstallationRates" localSheetId="18">'MH Input Assumptions'!$A$62</definedName>
    <definedName name="InstallationRates">'SF Input Assumptions'!$A$62</definedName>
    <definedName name="limcount" hidden="1">1</definedName>
    <definedName name="MeasureOutput">M_Input_Out!$A$4:$AM$100</definedName>
    <definedName name="MFElecDHWSat" localSheetId="17">'MF Input Assumptions'!$D$19</definedName>
    <definedName name="MFunit_showerheads">MFunit_showerheads!$A$1:$D$549</definedName>
    <definedName name="MHElecDHWSat" localSheetId="18">'MH Input Assumptions'!$D$19</definedName>
    <definedName name="MHshowerhead">MHshowerhead!$A$1:$D$320</definedName>
    <definedName name="MinPerShower" localSheetId="17">'MF Input Assumptions'!$D$26:$D$29</definedName>
    <definedName name="MinPerShower" localSheetId="18">'MH Input Assumptions'!$D$26:$D$29</definedName>
    <definedName name="MinPerShower">'SF Input Assumptions'!$D$26:$D$29</definedName>
    <definedName name="PeoplePerShowerhead" localSheetId="14">'MFResidential Analysis'!$C$13:$W$13</definedName>
    <definedName name="PeoplePerShowerhead" localSheetId="15">'MHResidential Analysis'!$C$13:$W$13</definedName>
    <definedName name="PeoplePerShowerhead">'SFResidential Analysis'!$C$13:$W$13</definedName>
    <definedName name="RatedFlowPercent" localSheetId="17">'MF Input Assumptions'!$C$26:$C$27</definedName>
    <definedName name="RatedFlowPercent" localSheetId="18">'MH Input Assumptions'!$C$26:$C$27</definedName>
    <definedName name="RatedFlowPercent">'SF Input Assumptions'!$C$26:$C$27</definedName>
    <definedName name="RatedFlowPercent1" localSheetId="17">'MF Input Assumptions'!$C$27:$C$29</definedName>
    <definedName name="RatedFlowPercent1" localSheetId="18">'MH Input Assumptions'!$C$27:$C$29</definedName>
    <definedName name="RatedFlowPercent1">'SF Input Assumptions'!$C$27:$C$29</definedName>
    <definedName name="RatedFlowRate" localSheetId="17">'MF Input Assumptions'!$A$26:$A$29</definedName>
    <definedName name="RatedFlowRate" localSheetId="18">'MH Input Assumptions'!$A$26:$A$29</definedName>
    <definedName name="RatedFlowRate">'SF Input Assumptions'!$A$26:$A$29</definedName>
    <definedName name="ResBase">'[1]Res Forecast (Base Case)'!$C$14:$BD$61</definedName>
    <definedName name="ResInstallRate" localSheetId="17">'MF Input Assumptions'!$A$66:$F$68</definedName>
    <definedName name="ResInstallRate" localSheetId="18">'MH Input Assumptions'!$A$66:$F$68</definedName>
    <definedName name="ResInstallRate">'SF Input Assumptions'!$A$66:$F$68</definedName>
    <definedName name="sencount" hidden="1">1</definedName>
    <definedName name="SFElecDHWSat">'SF Input Assumptions'!$D$19</definedName>
    <definedName name="ShowersPerCap" localSheetId="14">'MFResidential Analysis'!$C$11:$W$11</definedName>
    <definedName name="ShowersPerCap" localSheetId="15">'MHResidential Analysis'!$C$11:$W$11</definedName>
    <definedName name="ShowersPerCap">'SFResidential Analysis'!$C$11:$W$11</definedName>
    <definedName name="ShowerTemp">'SF Input Assumptions'!$G$26:$G$29</definedName>
    <definedName name="ShowerTimePercent" localSheetId="17">'MF Input Assumptions'!$E$26:$E$29</definedName>
    <definedName name="ShowerTimePercent" localSheetId="18">'MH Input Assumptions'!$E$26:$E$29</definedName>
    <definedName name="ShowerTimePercent">'SF Input Assumptions'!$E$26:$E$29</definedName>
    <definedName name="ShowerType" localSheetId="14">'MFResidential Analysis'!$C$9:$W$9</definedName>
    <definedName name="ShowerType" localSheetId="15">'MHResidential Analysis'!$C$9:$W$9</definedName>
    <definedName name="ShowerType">'SFResidential Analysis'!$C$9:$W$9</definedName>
    <definedName name="sort" localSheetId="17" hidden="1">#REF!</definedName>
    <definedName name="sort" localSheetId="14" hidden="1">#REF!</definedName>
    <definedName name="sort" localSheetId="18" hidden="1">#REF!</definedName>
    <definedName name="sort" localSheetId="15" hidden="1">#REF!</definedName>
    <definedName name="sort" hidden="1">#REF!</definedName>
    <definedName name="Wastewater">'SF Input Assumptions'!$A$34</definedName>
    <definedName name="WaterHeaterParameters">'SF Input Assumptions'!$A$9</definedName>
    <definedName name="WWSavings">'WasteWater System Savings'!#REF!</definedName>
  </definedNames>
  <calcPr calcId="125725"/>
</workbook>
</file>

<file path=xl/calcChain.xml><?xml version="1.0" encoding="utf-8"?>
<calcChain xmlns="http://schemas.openxmlformats.org/spreadsheetml/2006/main">
  <c r="D9" i="9"/>
  <c r="D8"/>
  <c r="D9" i="8"/>
  <c r="D8"/>
  <c r="C8" i="9"/>
  <c r="C8" i="8"/>
  <c r="A5" i="24" l="1"/>
  <c r="W13" i="30"/>
  <c r="V13"/>
  <c r="U13"/>
  <c r="T13"/>
  <c r="S13"/>
  <c r="R13"/>
  <c r="Q13"/>
  <c r="P13"/>
  <c r="O13"/>
  <c r="L13"/>
  <c r="K13"/>
  <c r="J13"/>
  <c r="I13"/>
  <c r="H13"/>
  <c r="G13"/>
  <c r="F13"/>
  <c r="E13"/>
  <c r="D13"/>
  <c r="W13" i="29"/>
  <c r="V13"/>
  <c r="U13"/>
  <c r="T13"/>
  <c r="S13"/>
  <c r="R13"/>
  <c r="Q13"/>
  <c r="P13"/>
  <c r="O13"/>
  <c r="L13"/>
  <c r="K13"/>
  <c r="J13"/>
  <c r="I13"/>
  <c r="H13"/>
  <c r="G13"/>
  <c r="F13"/>
  <c r="E13"/>
  <c r="D13"/>
  <c r="W13" i="15"/>
  <c r="V13"/>
  <c r="U13"/>
  <c r="T13"/>
  <c r="S13"/>
  <c r="R13"/>
  <c r="Q13"/>
  <c r="P13"/>
  <c r="O13"/>
  <c r="L13"/>
  <c r="K13"/>
  <c r="J13"/>
  <c r="I13"/>
  <c r="H13"/>
  <c r="G13"/>
  <c r="F13"/>
  <c r="E13"/>
  <c r="D13"/>
  <c r="B42" i="8" l="1"/>
  <c r="B43"/>
  <c r="C47" i="28"/>
  <c r="C47" i="14"/>
  <c r="V24" i="15" s="1"/>
  <c r="K81" s="1"/>
  <c r="V91" s="1"/>
  <c r="C47" i="27"/>
  <c r="I24" i="29" s="1"/>
  <c r="I80" s="1"/>
  <c r="H13" i="23"/>
  <c r="H11"/>
  <c r="J30" i="26"/>
  <c r="BA30"/>
  <c r="F30"/>
  <c r="C30"/>
  <c r="B30"/>
  <c r="BD16"/>
  <c r="AZ16"/>
  <c r="AW16"/>
  <c r="AV16"/>
  <c r="AQ16"/>
  <c r="AN16"/>
  <c r="AM16"/>
  <c r="AI16"/>
  <c r="AF16"/>
  <c r="J16"/>
  <c r="BB16"/>
  <c r="F16"/>
  <c r="C16"/>
  <c r="B16"/>
  <c r="A72" i="8"/>
  <c r="B72"/>
  <c r="H28" i="26" s="1"/>
  <c r="AV30"/>
  <c r="AQ30"/>
  <c r="AI30"/>
  <c r="AZ30"/>
  <c r="AJ16"/>
  <c r="AS16"/>
  <c r="BA16"/>
  <c r="AM30"/>
  <c r="BD30"/>
  <c r="AH30"/>
  <c r="AL30"/>
  <c r="AP30"/>
  <c r="AU30"/>
  <c r="AY30"/>
  <c r="BC30"/>
  <c r="AG30"/>
  <c r="AK30"/>
  <c r="AO30"/>
  <c r="AT30"/>
  <c r="AX30"/>
  <c r="BB30"/>
  <c r="AF30"/>
  <c r="AJ30"/>
  <c r="AN30"/>
  <c r="AS30"/>
  <c r="AW30"/>
  <c r="AH16"/>
  <c r="AL16"/>
  <c r="AP16"/>
  <c r="AU16"/>
  <c r="AY16"/>
  <c r="BC16"/>
  <c r="AG16"/>
  <c r="AK16"/>
  <c r="AO16"/>
  <c r="AT16"/>
  <c r="AX16"/>
  <c r="B74" i="8"/>
  <c r="H30" i="26" s="1"/>
  <c r="A74" i="8"/>
  <c r="G30" i="26" s="1"/>
  <c r="B57" i="9"/>
  <c r="H16" i="26" s="1"/>
  <c r="A57" i="9"/>
  <c r="G16" i="26" s="1"/>
  <c r="O18" i="3"/>
  <c r="M18"/>
  <c r="I18"/>
  <c r="A18"/>
  <c r="N17"/>
  <c r="J17"/>
  <c r="A17"/>
  <c r="M16"/>
  <c r="I16"/>
  <c r="D16"/>
  <c r="A16"/>
  <c r="A15"/>
  <c r="M14"/>
  <c r="I14"/>
  <c r="D14"/>
  <c r="A14"/>
  <c r="N13"/>
  <c r="J13"/>
  <c r="A13"/>
  <c r="A12"/>
  <c r="N31" i="19"/>
  <c r="N18" i="3"/>
  <c r="M31" i="19"/>
  <c r="L31"/>
  <c r="L18" i="3"/>
  <c r="K31" i="19"/>
  <c r="K18" i="3"/>
  <c r="J31" i="19"/>
  <c r="J18" i="3"/>
  <c r="I31" i="19"/>
  <c r="G31"/>
  <c r="B22"/>
  <c r="B23"/>
  <c r="B24"/>
  <c r="B25"/>
  <c r="B12" i="3"/>
  <c r="B26" i="19"/>
  <c r="B13" i="3"/>
  <c r="B27" i="19"/>
  <c r="B14" i="3"/>
  <c r="B28" i="19"/>
  <c r="B15" i="3"/>
  <c r="B29" i="19"/>
  <c r="B16" i="3"/>
  <c r="B30" i="19"/>
  <c r="B17" i="3"/>
  <c r="B31" i="19"/>
  <c r="B18" i="3"/>
  <c r="B21" i="19"/>
  <c r="G26"/>
  <c r="I26"/>
  <c r="I13" i="3"/>
  <c r="K26" i="19"/>
  <c r="K13" i="3"/>
  <c r="M26" i="19"/>
  <c r="M13" i="3"/>
  <c r="P26" i="19"/>
  <c r="I27"/>
  <c r="K27"/>
  <c r="K14" i="3"/>
  <c r="M27" i="19"/>
  <c r="P27"/>
  <c r="K28"/>
  <c r="K15" i="3"/>
  <c r="P28" i="19"/>
  <c r="I29"/>
  <c r="K29"/>
  <c r="K16" i="3"/>
  <c r="M29" i="19"/>
  <c r="P29"/>
  <c r="G30"/>
  <c r="K30"/>
  <c r="K17" i="3"/>
  <c r="L25" i="19"/>
  <c r="L12" i="3"/>
  <c r="D25" i="19"/>
  <c r="D12" i="3"/>
  <c r="B9" i="18"/>
  <c r="B10"/>
  <c r="B11"/>
  <c r="B10" i="19"/>
  <c r="B12" i="18"/>
  <c r="B11" i="19"/>
  <c r="B13" i="18"/>
  <c r="B14"/>
  <c r="B13" i="19"/>
  <c r="B15" i="18"/>
  <c r="B14" i="19"/>
  <c r="B16" i="18"/>
  <c r="B15" i="19"/>
  <c r="B8" i="18"/>
  <c r="P15" i="19"/>
  <c r="P30"/>
  <c r="N15"/>
  <c r="N30"/>
  <c r="M15"/>
  <c r="M30"/>
  <c r="M17" i="3"/>
  <c r="L15" i="19"/>
  <c r="L30"/>
  <c r="L17" i="3"/>
  <c r="K15" i="19"/>
  <c r="J15"/>
  <c r="J30"/>
  <c r="I15"/>
  <c r="I30"/>
  <c r="I17" i="3"/>
  <c r="A15" i="19"/>
  <c r="P14"/>
  <c r="N14"/>
  <c r="N29"/>
  <c r="N16" i="3"/>
  <c r="M14" i="19"/>
  <c r="L14"/>
  <c r="L29"/>
  <c r="L16" i="3"/>
  <c r="K14" i="19"/>
  <c r="J14"/>
  <c r="J29"/>
  <c r="J16" i="3"/>
  <c r="I14" i="19"/>
  <c r="D14"/>
  <c r="D29"/>
  <c r="A14"/>
  <c r="P13"/>
  <c r="N13"/>
  <c r="N28"/>
  <c r="N15" i="3"/>
  <c r="M13" i="19"/>
  <c r="M28"/>
  <c r="M15" i="3"/>
  <c r="L13" i="19"/>
  <c r="L28"/>
  <c r="L15" i="3"/>
  <c r="K13" i="19"/>
  <c r="J13"/>
  <c r="J28"/>
  <c r="J15" i="3"/>
  <c r="I13" i="19"/>
  <c r="I28"/>
  <c r="I15" i="3"/>
  <c r="G13" i="19"/>
  <c r="G28"/>
  <c r="A13"/>
  <c r="P12"/>
  <c r="N12"/>
  <c r="N27"/>
  <c r="N14" i="3"/>
  <c r="M12" i="19"/>
  <c r="L12"/>
  <c r="L27"/>
  <c r="L14" i="3"/>
  <c r="K12" i="19"/>
  <c r="J12"/>
  <c r="J27"/>
  <c r="J14" i="3"/>
  <c r="I12" i="19"/>
  <c r="D12"/>
  <c r="D27"/>
  <c r="B12"/>
  <c r="A12"/>
  <c r="P11"/>
  <c r="N11"/>
  <c r="N26"/>
  <c r="M11"/>
  <c r="L11"/>
  <c r="L26"/>
  <c r="L13" i="3"/>
  <c r="K11" i="19"/>
  <c r="J11"/>
  <c r="J26"/>
  <c r="I11"/>
  <c r="G11"/>
  <c r="D11"/>
  <c r="D26"/>
  <c r="D13" i="3"/>
  <c r="A11" i="19"/>
  <c r="P10"/>
  <c r="P25"/>
  <c r="N10"/>
  <c r="N25"/>
  <c r="N12" i="3"/>
  <c r="M10" i="19"/>
  <c r="M25"/>
  <c r="M12" i="3"/>
  <c r="L10" i="19"/>
  <c r="K10"/>
  <c r="K25"/>
  <c r="K12" i="3"/>
  <c r="J10" i="19"/>
  <c r="J25"/>
  <c r="J12" i="3"/>
  <c r="I10" i="19"/>
  <c r="I25"/>
  <c r="I12" i="3"/>
  <c r="F10" i="19"/>
  <c r="F25"/>
  <c r="F12" i="3"/>
  <c r="D10" i="19"/>
  <c r="A10"/>
  <c r="G16" i="18"/>
  <c r="G15" i="19"/>
  <c r="G15" i="18"/>
  <c r="G14" i="19"/>
  <c r="G29"/>
  <c r="G14" i="18"/>
  <c r="F16"/>
  <c r="F31" i="19"/>
  <c r="F18" i="3"/>
  <c r="F15" i="18"/>
  <c r="F14" i="19"/>
  <c r="F29"/>
  <c r="F16" i="3"/>
  <c r="F14" i="18"/>
  <c r="F13" i="19"/>
  <c r="F28"/>
  <c r="F15" i="3"/>
  <c r="D16" i="18"/>
  <c r="D15"/>
  <c r="D14"/>
  <c r="D13" i="19"/>
  <c r="D28"/>
  <c r="D15" i="3"/>
  <c r="G13" i="18"/>
  <c r="G12" i="19"/>
  <c r="G27"/>
  <c r="G12" i="18"/>
  <c r="G11"/>
  <c r="G10" i="19"/>
  <c r="G25"/>
  <c r="F13" i="18"/>
  <c r="F12" i="19"/>
  <c r="F27"/>
  <c r="F14" i="3"/>
  <c r="F12" i="18"/>
  <c r="F11" i="19"/>
  <c r="F26"/>
  <c r="F13" i="3"/>
  <c r="F11" i="18"/>
  <c r="D13"/>
  <c r="D12"/>
  <c r="D11"/>
  <c r="K21" i="30"/>
  <c r="I21"/>
  <c r="T21"/>
  <c r="G21"/>
  <c r="E21"/>
  <c r="P21"/>
  <c r="L20"/>
  <c r="W20"/>
  <c r="H20"/>
  <c r="D20"/>
  <c r="O20"/>
  <c r="L19"/>
  <c r="H19"/>
  <c r="D19"/>
  <c r="O17"/>
  <c r="L14"/>
  <c r="L15"/>
  <c r="K14"/>
  <c r="J14"/>
  <c r="J22"/>
  <c r="J25" s="1"/>
  <c r="I14"/>
  <c r="I22"/>
  <c r="H14"/>
  <c r="H22"/>
  <c r="H40" s="1"/>
  <c r="G14"/>
  <c r="G15"/>
  <c r="F14"/>
  <c r="F22"/>
  <c r="F25" s="1"/>
  <c r="E14"/>
  <c r="E15"/>
  <c r="D14"/>
  <c r="U17"/>
  <c r="K22"/>
  <c r="K40" s="1"/>
  <c r="L21" i="29"/>
  <c r="H21"/>
  <c r="S21"/>
  <c r="D21"/>
  <c r="O21"/>
  <c r="O19"/>
  <c r="R19"/>
  <c r="O17"/>
  <c r="R17"/>
  <c r="Q14"/>
  <c r="L14"/>
  <c r="L15"/>
  <c r="K14"/>
  <c r="K15"/>
  <c r="J14"/>
  <c r="I14"/>
  <c r="I22"/>
  <c r="H14"/>
  <c r="G14"/>
  <c r="G22"/>
  <c r="F14"/>
  <c r="E14"/>
  <c r="D14"/>
  <c r="AF87" i="30"/>
  <c r="AC87"/>
  <c r="Z87"/>
  <c r="U87"/>
  <c r="R87"/>
  <c r="O87"/>
  <c r="J87"/>
  <c r="G87"/>
  <c r="D87"/>
  <c r="J37"/>
  <c r="G37"/>
  <c r="D37"/>
  <c r="S16"/>
  <c r="D15"/>
  <c r="U9"/>
  <c r="R9"/>
  <c r="O9"/>
  <c r="B5"/>
  <c r="B4"/>
  <c r="B3"/>
  <c r="AF87" i="29"/>
  <c r="AC87"/>
  <c r="Z87"/>
  <c r="U87"/>
  <c r="R87"/>
  <c r="O87"/>
  <c r="J87"/>
  <c r="G87"/>
  <c r="D87"/>
  <c r="J37"/>
  <c r="G37"/>
  <c r="D37"/>
  <c r="K22"/>
  <c r="J22"/>
  <c r="F22"/>
  <c r="F40" s="1"/>
  <c r="I15"/>
  <c r="H15"/>
  <c r="G15"/>
  <c r="D15"/>
  <c r="S14"/>
  <c r="L22"/>
  <c r="J15"/>
  <c r="H22"/>
  <c r="H40" s="1"/>
  <c r="F15"/>
  <c r="D22"/>
  <c r="U9"/>
  <c r="R9"/>
  <c r="O9"/>
  <c r="B5"/>
  <c r="B4"/>
  <c r="B3"/>
  <c r="D19" i="28"/>
  <c r="C56"/>
  <c r="C55"/>
  <c r="E104" i="30"/>
  <c r="E15" i="18"/>
  <c r="D29" i="28"/>
  <c r="Q14" i="30"/>
  <c r="Q15"/>
  <c r="B29" i="28"/>
  <c r="Q16" i="30"/>
  <c r="D28" i="28"/>
  <c r="P14" i="30"/>
  <c r="B28" i="28"/>
  <c r="P16" i="30"/>
  <c r="G27" i="28"/>
  <c r="O19" i="30"/>
  <c r="U19"/>
  <c r="D27" i="28"/>
  <c r="O14" i="30"/>
  <c r="B27" i="28"/>
  <c r="F28"/>
  <c r="P17" i="30"/>
  <c r="G26" i="28"/>
  <c r="D17"/>
  <c r="L21" i="30"/>
  <c r="W21"/>
  <c r="D15" i="28"/>
  <c r="J20" i="30"/>
  <c r="U20"/>
  <c r="A5" i="28"/>
  <c r="A4"/>
  <c r="A3"/>
  <c r="D19" i="27"/>
  <c r="E33" i="29" s="1"/>
  <c r="E75" s="1"/>
  <c r="E97" s="1"/>
  <c r="C56" i="27"/>
  <c r="C55"/>
  <c r="D29"/>
  <c r="B29"/>
  <c r="Q16" i="29"/>
  <c r="D28" i="27"/>
  <c r="P14" i="29"/>
  <c r="B28" i="27"/>
  <c r="P16" i="29"/>
  <c r="G27" i="27"/>
  <c r="D27"/>
  <c r="O14" i="29"/>
  <c r="U14"/>
  <c r="B27" i="27"/>
  <c r="G26"/>
  <c r="K19" i="29"/>
  <c r="D17" i="27"/>
  <c r="F21" i="29"/>
  <c r="Q21"/>
  <c r="D15" i="27"/>
  <c r="G20" i="29"/>
  <c r="R20"/>
  <c r="A5" i="27"/>
  <c r="A4"/>
  <c r="A3"/>
  <c r="S14" i="30"/>
  <c r="S15"/>
  <c r="P15"/>
  <c r="T16"/>
  <c r="W16"/>
  <c r="V16" i="29"/>
  <c r="V22"/>
  <c r="S16"/>
  <c r="V17" i="30"/>
  <c r="S17"/>
  <c r="I19" i="29"/>
  <c r="E20"/>
  <c r="P20"/>
  <c r="O16" i="30"/>
  <c r="D104"/>
  <c r="E14" i="18"/>
  <c r="E13" i="19"/>
  <c r="D31"/>
  <c r="D18" i="3"/>
  <c r="D15" i="19"/>
  <c r="D30"/>
  <c r="D17" i="3"/>
  <c r="F28" i="27"/>
  <c r="P17" i="29"/>
  <c r="O16"/>
  <c r="F104"/>
  <c r="E13" i="18"/>
  <c r="D104" i="29"/>
  <c r="E11" i="18"/>
  <c r="E10" i="19"/>
  <c r="I19" i="30"/>
  <c r="E19"/>
  <c r="K19"/>
  <c r="G19"/>
  <c r="F23" i="29"/>
  <c r="F45" s="1"/>
  <c r="F15" i="30"/>
  <c r="E22" i="29"/>
  <c r="E15"/>
  <c r="E104"/>
  <c r="E12" i="18"/>
  <c r="E11" i="19"/>
  <c r="E26"/>
  <c r="E13" i="3"/>
  <c r="F19" i="30"/>
  <c r="F104"/>
  <c r="E16" i="18"/>
  <c r="E31" i="19"/>
  <c r="E18" i="3"/>
  <c r="L19" i="29"/>
  <c r="H19"/>
  <c r="D19"/>
  <c r="J19"/>
  <c r="F19"/>
  <c r="L20"/>
  <c r="W20"/>
  <c r="H20"/>
  <c r="S20"/>
  <c r="D20"/>
  <c r="O20"/>
  <c r="J20"/>
  <c r="F20"/>
  <c r="Q20"/>
  <c r="W16"/>
  <c r="Q22"/>
  <c r="T16"/>
  <c r="T14"/>
  <c r="T15"/>
  <c r="Q15"/>
  <c r="W14"/>
  <c r="W15"/>
  <c r="E19"/>
  <c r="I20"/>
  <c r="T20"/>
  <c r="K21"/>
  <c r="G21"/>
  <c r="R21"/>
  <c r="I21"/>
  <c r="T21"/>
  <c r="E21"/>
  <c r="P21"/>
  <c r="I20" i="30"/>
  <c r="E20"/>
  <c r="K20"/>
  <c r="V20"/>
  <c r="G20"/>
  <c r="R20"/>
  <c r="D23" i="29"/>
  <c r="D45" s="1"/>
  <c r="K23"/>
  <c r="K45" s="1"/>
  <c r="G23"/>
  <c r="G45" s="1"/>
  <c r="G19"/>
  <c r="K20"/>
  <c r="V20"/>
  <c r="J21"/>
  <c r="U21"/>
  <c r="J19" i="30"/>
  <c r="F20"/>
  <c r="Q20"/>
  <c r="F15" i="19"/>
  <c r="F30"/>
  <c r="F17" i="3"/>
  <c r="F21" i="30"/>
  <c r="Q21"/>
  <c r="J21"/>
  <c r="J23" i="29"/>
  <c r="J45" s="1"/>
  <c r="D21" i="30"/>
  <c r="O21"/>
  <c r="H21"/>
  <c r="S21"/>
  <c r="E14" i="19"/>
  <c r="E29"/>
  <c r="E16" i="3"/>
  <c r="H15" i="30"/>
  <c r="Q22"/>
  <c r="F41" s="1"/>
  <c r="Q89" s="1"/>
  <c r="I15"/>
  <c r="K25"/>
  <c r="K26" s="1"/>
  <c r="K15"/>
  <c r="G22"/>
  <c r="G25" s="1"/>
  <c r="V14"/>
  <c r="V15"/>
  <c r="J15"/>
  <c r="S22"/>
  <c r="H41" s="1"/>
  <c r="S89" s="1"/>
  <c r="R19"/>
  <c r="W14"/>
  <c r="W15"/>
  <c r="I25" i="29"/>
  <c r="I50" s="1"/>
  <c r="I40"/>
  <c r="I89" s="1"/>
  <c r="I23"/>
  <c r="I45"/>
  <c r="I90" s="1"/>
  <c r="L23"/>
  <c r="L45"/>
  <c r="L90" s="1"/>
  <c r="S22"/>
  <c r="R21" i="30"/>
  <c r="R16"/>
  <c r="U16"/>
  <c r="P20"/>
  <c r="S19"/>
  <c r="V19"/>
  <c r="R17"/>
  <c r="E22"/>
  <c r="E25" s="1"/>
  <c r="O22"/>
  <c r="O23" s="1"/>
  <c r="D46" s="1"/>
  <c r="O90" s="1"/>
  <c r="S20"/>
  <c r="D22"/>
  <c r="L22"/>
  <c r="L23" s="1"/>
  <c r="L45" s="1"/>
  <c r="V21"/>
  <c r="I25"/>
  <c r="I40"/>
  <c r="O15"/>
  <c r="U14"/>
  <c r="U15"/>
  <c r="V16"/>
  <c r="V22"/>
  <c r="P22"/>
  <c r="P25" s="1"/>
  <c r="T20"/>
  <c r="U21"/>
  <c r="R14"/>
  <c r="R15"/>
  <c r="T14"/>
  <c r="T15"/>
  <c r="L40" i="29"/>
  <c r="L25"/>
  <c r="L50" s="1"/>
  <c r="J25"/>
  <c r="G40"/>
  <c r="G25"/>
  <c r="V17"/>
  <c r="S17"/>
  <c r="P15"/>
  <c r="V14"/>
  <c r="V15"/>
  <c r="P22"/>
  <c r="P25" s="1"/>
  <c r="U15"/>
  <c r="R14"/>
  <c r="R15"/>
  <c r="O22"/>
  <c r="O15"/>
  <c r="W21"/>
  <c r="K40"/>
  <c r="K89" s="1"/>
  <c r="S15"/>
  <c r="U19"/>
  <c r="U17"/>
  <c r="D25"/>
  <c r="D50" s="1"/>
  <c r="D40"/>
  <c r="K25"/>
  <c r="J40"/>
  <c r="J89" s="1"/>
  <c r="U20"/>
  <c r="V21"/>
  <c r="F29" i="28"/>
  <c r="G28"/>
  <c r="P19" i="30"/>
  <c r="F29" i="27"/>
  <c r="G28"/>
  <c r="P19" i="29"/>
  <c r="J29" i="26"/>
  <c r="BA29"/>
  <c r="I29"/>
  <c r="C29"/>
  <c r="B29"/>
  <c r="J28"/>
  <c r="BA28"/>
  <c r="C28"/>
  <c r="B28"/>
  <c r="J27"/>
  <c r="BC27"/>
  <c r="C27"/>
  <c r="B27"/>
  <c r="J26"/>
  <c r="BC26"/>
  <c r="C26"/>
  <c r="B26"/>
  <c r="J25"/>
  <c r="BD25"/>
  <c r="C25"/>
  <c r="B25"/>
  <c r="J24"/>
  <c r="BA24"/>
  <c r="C24"/>
  <c r="B24"/>
  <c r="J23"/>
  <c r="BC23"/>
  <c r="C23"/>
  <c r="B23"/>
  <c r="J22"/>
  <c r="BC22"/>
  <c r="C22"/>
  <c r="B22"/>
  <c r="J21"/>
  <c r="BD21"/>
  <c r="C21"/>
  <c r="B21"/>
  <c r="AN15"/>
  <c r="J15"/>
  <c r="BD15"/>
  <c r="C15"/>
  <c r="B15"/>
  <c r="J14"/>
  <c r="BA14"/>
  <c r="C14"/>
  <c r="B14"/>
  <c r="J13"/>
  <c r="BC13"/>
  <c r="C13"/>
  <c r="B13"/>
  <c r="J12"/>
  <c r="BC12"/>
  <c r="C12"/>
  <c r="B12"/>
  <c r="J11"/>
  <c r="BD11"/>
  <c r="C11"/>
  <c r="B11"/>
  <c r="J10"/>
  <c r="BA10"/>
  <c r="C10"/>
  <c r="B10"/>
  <c r="J9"/>
  <c r="BC9"/>
  <c r="C9"/>
  <c r="B9"/>
  <c r="J8"/>
  <c r="BC8"/>
  <c r="C8"/>
  <c r="B8"/>
  <c r="J7"/>
  <c r="BA7"/>
  <c r="C7"/>
  <c r="B7"/>
  <c r="J20"/>
  <c r="AQ20"/>
  <c r="C20"/>
  <c r="B20"/>
  <c r="J19"/>
  <c r="BA19"/>
  <c r="C19"/>
  <c r="B19"/>
  <c r="J18"/>
  <c r="BB18"/>
  <c r="C18"/>
  <c r="B18"/>
  <c r="J17"/>
  <c r="BD17"/>
  <c r="C17"/>
  <c r="B17"/>
  <c r="J6"/>
  <c r="BD6"/>
  <c r="C6"/>
  <c r="B6"/>
  <c r="J5"/>
  <c r="AZ5"/>
  <c r="C5"/>
  <c r="B5"/>
  <c r="J4"/>
  <c r="BA4"/>
  <c r="C4"/>
  <c r="B4"/>
  <c r="J3"/>
  <c r="BD3"/>
  <c r="C3"/>
  <c r="B3"/>
  <c r="AZ20"/>
  <c r="AD2"/>
  <c r="AC2"/>
  <c r="AB2"/>
  <c r="AA2"/>
  <c r="Z2"/>
  <c r="Y2"/>
  <c r="X2"/>
  <c r="W2"/>
  <c r="V2"/>
  <c r="U2"/>
  <c r="T2"/>
  <c r="S2"/>
  <c r="R2"/>
  <c r="Q2"/>
  <c r="P2"/>
  <c r="O2"/>
  <c r="N2"/>
  <c r="M2"/>
  <c r="L2"/>
  <c r="K2"/>
  <c r="G29" i="27"/>
  <c r="Q19" i="29"/>
  <c r="Q17"/>
  <c r="K23" i="30"/>
  <c r="K45" s="1"/>
  <c r="R16" i="29"/>
  <c r="R22"/>
  <c r="G41" s="1"/>
  <c r="U16"/>
  <c r="U22"/>
  <c r="U23" s="1"/>
  <c r="J46" s="1"/>
  <c r="U90" s="1"/>
  <c r="AF15" i="26"/>
  <c r="G29" i="28"/>
  <c r="Q19" i="30"/>
  <c r="Q17"/>
  <c r="E23" i="29"/>
  <c r="E45" s="1"/>
  <c r="E40"/>
  <c r="E25"/>
  <c r="E12" i="19"/>
  <c r="E27"/>
  <c r="E14" i="3"/>
  <c r="E25" i="19"/>
  <c r="E12" i="3"/>
  <c r="E15" i="19"/>
  <c r="E30"/>
  <c r="E17" i="3"/>
  <c r="E28" i="19"/>
  <c r="E15" i="3"/>
  <c r="V19" i="29"/>
  <c r="S19"/>
  <c r="W22"/>
  <c r="I23" i="30"/>
  <c r="I45" s="1"/>
  <c r="T22" i="29"/>
  <c r="AF13" i="26"/>
  <c r="AX15"/>
  <c r="AX13"/>
  <c r="F15"/>
  <c r="AG15"/>
  <c r="AP15"/>
  <c r="BC15"/>
  <c r="AL15"/>
  <c r="AW15"/>
  <c r="AX4"/>
  <c r="AH15"/>
  <c r="AT15"/>
  <c r="AF22"/>
  <c r="AF26"/>
  <c r="AF27"/>
  <c r="AK23"/>
  <c r="F18"/>
  <c r="AQ23"/>
  <c r="AS27"/>
  <c r="AM24"/>
  <c r="AI14"/>
  <c r="AQ13"/>
  <c r="AN13"/>
  <c r="F13"/>
  <c r="AG13"/>
  <c r="BB13"/>
  <c r="AQ27"/>
  <c r="BD27"/>
  <c r="AZ29"/>
  <c r="BA18"/>
  <c r="AF23"/>
  <c r="AI24"/>
  <c r="BA26"/>
  <c r="AK27"/>
  <c r="BB27"/>
  <c r="F29"/>
  <c r="AM29"/>
  <c r="AS18"/>
  <c r="AW22"/>
  <c r="BB23"/>
  <c r="AO26"/>
  <c r="F27"/>
  <c r="AG27"/>
  <c r="AW27"/>
  <c r="AI29"/>
  <c r="AO22"/>
  <c r="AN26"/>
  <c r="AX26"/>
  <c r="AZ28"/>
  <c r="AN22"/>
  <c r="BD24"/>
  <c r="AJ26"/>
  <c r="AI19"/>
  <c r="F22"/>
  <c r="AG22"/>
  <c r="AX22"/>
  <c r="AW23"/>
  <c r="AZ24"/>
  <c r="F26"/>
  <c r="AG26"/>
  <c r="AS26"/>
  <c r="AM27"/>
  <c r="AX27"/>
  <c r="AI28"/>
  <c r="BD29"/>
  <c r="BD28"/>
  <c r="AW26"/>
  <c r="F28"/>
  <c r="AM28"/>
  <c r="AG5"/>
  <c r="AI10"/>
  <c r="AI13"/>
  <c r="AT13"/>
  <c r="BD13"/>
  <c r="F14"/>
  <c r="AM14"/>
  <c r="AK15"/>
  <c r="AS15"/>
  <c r="AY15"/>
  <c r="BD14"/>
  <c r="AI6"/>
  <c r="AM13"/>
  <c r="AW13"/>
  <c r="AQ14"/>
  <c r="BB15"/>
  <c r="AJ15"/>
  <c r="AO15"/>
  <c r="AU15"/>
  <c r="BA15"/>
  <c r="AZ14"/>
  <c r="AK13"/>
  <c r="AS13"/>
  <c r="AZ13"/>
  <c r="AI7"/>
  <c r="AG4"/>
  <c r="V23" i="30"/>
  <c r="K46" s="1"/>
  <c r="V90" s="1"/>
  <c r="P23"/>
  <c r="E46" s="1"/>
  <c r="P90" s="1"/>
  <c r="D23"/>
  <c r="D45" s="1"/>
  <c r="S25"/>
  <c r="S26" s="1"/>
  <c r="K50"/>
  <c r="W22"/>
  <c r="V23" i="29"/>
  <c r="O23"/>
  <c r="D46" s="1"/>
  <c r="O90" s="1"/>
  <c r="S23"/>
  <c r="H46" s="1"/>
  <c r="S90" s="1"/>
  <c r="R23"/>
  <c r="G46" s="1"/>
  <c r="R90" s="1"/>
  <c r="P23"/>
  <c r="E46" s="1"/>
  <c r="P90" s="1"/>
  <c r="I26"/>
  <c r="I30" s="1"/>
  <c r="I65" s="1"/>
  <c r="S25"/>
  <c r="H51" s="1"/>
  <c r="S92" s="1"/>
  <c r="H41"/>
  <c r="S89" s="1"/>
  <c r="D25" i="30"/>
  <c r="D40"/>
  <c r="D89" s="1"/>
  <c r="T22"/>
  <c r="I41" s="1"/>
  <c r="T89" s="1"/>
  <c r="R22"/>
  <c r="E40"/>
  <c r="V25"/>
  <c r="V26" s="1"/>
  <c r="K41"/>
  <c r="V89" s="1"/>
  <c r="E41"/>
  <c r="P89" s="1"/>
  <c r="I50"/>
  <c r="I92" s="1"/>
  <c r="I26"/>
  <c r="I55" s="1"/>
  <c r="U22"/>
  <c r="U23" s="1"/>
  <c r="J46" s="1"/>
  <c r="U90" s="1"/>
  <c r="S26" i="29"/>
  <c r="S28" s="1"/>
  <c r="D89"/>
  <c r="I55"/>
  <c r="G89"/>
  <c r="L89"/>
  <c r="D41"/>
  <c r="O89" s="1"/>
  <c r="Z89" s="1"/>
  <c r="O25"/>
  <c r="G50"/>
  <c r="G26"/>
  <c r="G55" s="1"/>
  <c r="K50"/>
  <c r="K26"/>
  <c r="K46"/>
  <c r="V90"/>
  <c r="K41"/>
  <c r="K42" s="1"/>
  <c r="K43" s="1"/>
  <c r="V25"/>
  <c r="E41"/>
  <c r="P89" s="1"/>
  <c r="J26"/>
  <c r="J55" s="1"/>
  <c r="J50"/>
  <c r="AK12" i="26"/>
  <c r="AT12"/>
  <c r="BB12"/>
  <c r="BD7"/>
  <c r="AQ9"/>
  <c r="AX9"/>
  <c r="AJ23"/>
  <c r="AV23"/>
  <c r="BA23"/>
  <c r="AZ7"/>
  <c r="F9"/>
  <c r="AZ10"/>
  <c r="F12"/>
  <c r="AG12"/>
  <c r="AO12"/>
  <c r="AX12"/>
  <c r="AV24"/>
  <c r="AJ27"/>
  <c r="AO27"/>
  <c r="AV27"/>
  <c r="BA27"/>
  <c r="AV28"/>
  <c r="AV29"/>
  <c r="AK9"/>
  <c r="AS9"/>
  <c r="BA9"/>
  <c r="AJ9"/>
  <c r="BD10"/>
  <c r="AJ12"/>
  <c r="AS12"/>
  <c r="BA12"/>
  <c r="AO23"/>
  <c r="AG9"/>
  <c r="AO9"/>
  <c r="AW9"/>
  <c r="BD9"/>
  <c r="AK22"/>
  <c r="AT22"/>
  <c r="BB22"/>
  <c r="AI23"/>
  <c r="AN23"/>
  <c r="AT23"/>
  <c r="AZ23"/>
  <c r="AO4"/>
  <c r="BD5"/>
  <c r="AJ18"/>
  <c r="AN19"/>
  <c r="F7"/>
  <c r="AM7"/>
  <c r="AF9"/>
  <c r="AM9"/>
  <c r="AV9"/>
  <c r="BB9"/>
  <c r="F10"/>
  <c r="AM10"/>
  <c r="AF12"/>
  <c r="AN12"/>
  <c r="AW12"/>
  <c r="AJ13"/>
  <c r="AO13"/>
  <c r="AV13"/>
  <c r="BA13"/>
  <c r="AV14"/>
  <c r="AI15"/>
  <c r="AM15"/>
  <c r="AQ15"/>
  <c r="AV15"/>
  <c r="AZ15"/>
  <c r="AJ22"/>
  <c r="AS22"/>
  <c r="BA22"/>
  <c r="F23"/>
  <c r="AG23"/>
  <c r="AM23"/>
  <c r="AS23"/>
  <c r="AX23"/>
  <c r="BD23"/>
  <c r="AQ24"/>
  <c r="AK26"/>
  <c r="AT26"/>
  <c r="BB26"/>
  <c r="AI27"/>
  <c r="AN27"/>
  <c r="AT27"/>
  <c r="AZ27"/>
  <c r="AQ28"/>
  <c r="AQ29"/>
  <c r="AH29"/>
  <c r="AL29"/>
  <c r="AP29"/>
  <c r="AU29"/>
  <c r="AY29"/>
  <c r="BC29"/>
  <c r="AG29"/>
  <c r="AK29"/>
  <c r="AO29"/>
  <c r="AT29"/>
  <c r="AX29"/>
  <c r="BB29"/>
  <c r="AF29"/>
  <c r="AJ29"/>
  <c r="AN29"/>
  <c r="AS29"/>
  <c r="AW29"/>
  <c r="AH21"/>
  <c r="AP21"/>
  <c r="AY21"/>
  <c r="F25"/>
  <c r="AL25"/>
  <c r="AP25"/>
  <c r="AU25"/>
  <c r="AY25"/>
  <c r="BC25"/>
  <c r="AO21"/>
  <c r="AT21"/>
  <c r="AX21"/>
  <c r="BB21"/>
  <c r="AL24"/>
  <c r="AU24"/>
  <c r="AY24"/>
  <c r="AG25"/>
  <c r="AK25"/>
  <c r="AO25"/>
  <c r="AT25"/>
  <c r="AX25"/>
  <c r="BB25"/>
  <c r="AH28"/>
  <c r="AL28"/>
  <c r="AP28"/>
  <c r="AU28"/>
  <c r="AY28"/>
  <c r="BC28"/>
  <c r="AF21"/>
  <c r="AJ21"/>
  <c r="AN21"/>
  <c r="AS21"/>
  <c r="AW21"/>
  <c r="BA21"/>
  <c r="AI22"/>
  <c r="AM22"/>
  <c r="AQ22"/>
  <c r="AV22"/>
  <c r="AZ22"/>
  <c r="BD22"/>
  <c r="AH23"/>
  <c r="AL23"/>
  <c r="AP23"/>
  <c r="AU23"/>
  <c r="AY23"/>
  <c r="AG24"/>
  <c r="AK24"/>
  <c r="AO24"/>
  <c r="AT24"/>
  <c r="AX24"/>
  <c r="BB24"/>
  <c r="AF25"/>
  <c r="AJ25"/>
  <c r="AN25"/>
  <c r="AS25"/>
  <c r="AW25"/>
  <c r="BA25"/>
  <c r="AI26"/>
  <c r="AM26"/>
  <c r="AQ26"/>
  <c r="AV26"/>
  <c r="AZ26"/>
  <c r="BD26"/>
  <c r="AH27"/>
  <c r="AL27"/>
  <c r="AP27"/>
  <c r="AU27"/>
  <c r="AY27"/>
  <c r="AG28"/>
  <c r="AK28"/>
  <c r="AO28"/>
  <c r="AT28"/>
  <c r="AX28"/>
  <c r="BB28"/>
  <c r="F21"/>
  <c r="AL21"/>
  <c r="AU21"/>
  <c r="BC21"/>
  <c r="AH25"/>
  <c r="AG21"/>
  <c r="AK21"/>
  <c r="F24"/>
  <c r="AH24"/>
  <c r="AP24"/>
  <c r="BC24"/>
  <c r="AI21"/>
  <c r="AM21"/>
  <c r="AQ21"/>
  <c r="AV21"/>
  <c r="AZ21"/>
  <c r="AH22"/>
  <c r="AL22"/>
  <c r="AP22"/>
  <c r="AU22"/>
  <c r="AY22"/>
  <c r="AF24"/>
  <c r="AJ24"/>
  <c r="AN24"/>
  <c r="AS24"/>
  <c r="AW24"/>
  <c r="AI25"/>
  <c r="AM25"/>
  <c r="AQ25"/>
  <c r="AV25"/>
  <c r="AZ25"/>
  <c r="AH26"/>
  <c r="AL26"/>
  <c r="AP26"/>
  <c r="AU26"/>
  <c r="AY26"/>
  <c r="AF28"/>
  <c r="AJ28"/>
  <c r="AN28"/>
  <c r="AS28"/>
  <c r="AW28"/>
  <c r="F11"/>
  <c r="AL11"/>
  <c r="AY11"/>
  <c r="AG11"/>
  <c r="AH14"/>
  <c r="AL14"/>
  <c r="AP14"/>
  <c r="AU14"/>
  <c r="AY14"/>
  <c r="BC14"/>
  <c r="AX5"/>
  <c r="AZ6"/>
  <c r="AV7"/>
  <c r="AI9"/>
  <c r="AN9"/>
  <c r="AT9"/>
  <c r="AZ9"/>
  <c r="AV10"/>
  <c r="AF11"/>
  <c r="AJ11"/>
  <c r="AN11"/>
  <c r="AS11"/>
  <c r="AW11"/>
  <c r="BA11"/>
  <c r="AI12"/>
  <c r="AM12"/>
  <c r="AQ12"/>
  <c r="AV12"/>
  <c r="AZ12"/>
  <c r="BD12"/>
  <c r="AH13"/>
  <c r="AL13"/>
  <c r="AP13"/>
  <c r="AU13"/>
  <c r="AY13"/>
  <c r="AG14"/>
  <c r="AK14"/>
  <c r="AO14"/>
  <c r="AT14"/>
  <c r="AX14"/>
  <c r="BB14"/>
  <c r="AH11"/>
  <c r="AP11"/>
  <c r="AU11"/>
  <c r="BC11"/>
  <c r="AI20"/>
  <c r="AK11"/>
  <c r="AO11"/>
  <c r="AT11"/>
  <c r="AX11"/>
  <c r="BB11"/>
  <c r="AV6"/>
  <c r="BD20"/>
  <c r="AQ7"/>
  <c r="AQ10"/>
  <c r="AI11"/>
  <c r="AM11"/>
  <c r="AQ11"/>
  <c r="AV11"/>
  <c r="AZ11"/>
  <c r="AH12"/>
  <c r="AL12"/>
  <c r="AP12"/>
  <c r="AU12"/>
  <c r="AY12"/>
  <c r="AF14"/>
  <c r="AJ14"/>
  <c r="AN14"/>
  <c r="AS14"/>
  <c r="AW14"/>
  <c r="F8"/>
  <c r="AH8"/>
  <c r="AP8"/>
  <c r="AY8"/>
  <c r="AF4"/>
  <c r="AN4"/>
  <c r="AW4"/>
  <c r="AG18"/>
  <c r="AO18"/>
  <c r="AX18"/>
  <c r="AH7"/>
  <c r="AL7"/>
  <c r="AP7"/>
  <c r="AU7"/>
  <c r="AY7"/>
  <c r="BC7"/>
  <c r="AG8"/>
  <c r="AK8"/>
  <c r="AO8"/>
  <c r="AT8"/>
  <c r="AX8"/>
  <c r="BB8"/>
  <c r="BC4"/>
  <c r="AK4"/>
  <c r="AT4"/>
  <c r="BB4"/>
  <c r="AS5"/>
  <c r="AF18"/>
  <c r="AN18"/>
  <c r="AW18"/>
  <c r="F19"/>
  <c r="AZ19"/>
  <c r="AG7"/>
  <c r="AK7"/>
  <c r="AO7"/>
  <c r="AT7"/>
  <c r="AX7"/>
  <c r="BB7"/>
  <c r="AF8"/>
  <c r="AJ8"/>
  <c r="AN8"/>
  <c r="AS8"/>
  <c r="AW8"/>
  <c r="BA8"/>
  <c r="AH10"/>
  <c r="AL10"/>
  <c r="AP10"/>
  <c r="AU10"/>
  <c r="AY10"/>
  <c r="BC10"/>
  <c r="F4"/>
  <c r="AJ4"/>
  <c r="AS4"/>
  <c r="AM5"/>
  <c r="BA6"/>
  <c r="BC18"/>
  <c r="AK18"/>
  <c r="AT18"/>
  <c r="AT19"/>
  <c r="AM20"/>
  <c r="AF7"/>
  <c r="AJ7"/>
  <c r="AN7"/>
  <c r="AS7"/>
  <c r="AW7"/>
  <c r="AI8"/>
  <c r="AM8"/>
  <c r="AQ8"/>
  <c r="AV8"/>
  <c r="AZ8"/>
  <c r="BD8"/>
  <c r="AH9"/>
  <c r="AL9"/>
  <c r="AP9"/>
  <c r="AU9"/>
  <c r="AY9"/>
  <c r="AG10"/>
  <c r="AK10"/>
  <c r="AO10"/>
  <c r="AT10"/>
  <c r="AX10"/>
  <c r="BB10"/>
  <c r="AL8"/>
  <c r="AU8"/>
  <c r="AF10"/>
  <c r="AJ10"/>
  <c r="AN10"/>
  <c r="AS10"/>
  <c r="AW10"/>
  <c r="AF5"/>
  <c r="AQ5"/>
  <c r="AM19"/>
  <c r="AX19"/>
  <c r="AJ5"/>
  <c r="AO5"/>
  <c r="AV5"/>
  <c r="BA5"/>
  <c r="F6"/>
  <c r="AQ6"/>
  <c r="AF19"/>
  <c r="AK19"/>
  <c r="AQ19"/>
  <c r="AW19"/>
  <c r="BB19"/>
  <c r="BA20"/>
  <c r="AV20"/>
  <c r="AK5"/>
  <c r="AW5"/>
  <c r="BB5"/>
  <c r="AG19"/>
  <c r="AS19"/>
  <c r="BD19"/>
  <c r="BC5"/>
  <c r="F5"/>
  <c r="AI5"/>
  <c r="AN5"/>
  <c r="AT5"/>
  <c r="AM6"/>
  <c r="BC19"/>
  <c r="AJ19"/>
  <c r="AO19"/>
  <c r="AV19"/>
  <c r="F20"/>
  <c r="AL3"/>
  <c r="AU3"/>
  <c r="BC3"/>
  <c r="F17"/>
  <c r="AL17"/>
  <c r="AU17"/>
  <c r="BC17"/>
  <c r="AK3"/>
  <c r="AT3"/>
  <c r="AX3"/>
  <c r="BB3"/>
  <c r="AH6"/>
  <c r="AL6"/>
  <c r="AP6"/>
  <c r="AU6"/>
  <c r="AY6"/>
  <c r="BC6"/>
  <c r="AG17"/>
  <c r="AK17"/>
  <c r="AO17"/>
  <c r="AT17"/>
  <c r="AX17"/>
  <c r="BB17"/>
  <c r="AH20"/>
  <c r="AL20"/>
  <c r="AP20"/>
  <c r="AU20"/>
  <c r="AY20"/>
  <c r="BC20"/>
  <c r="AF3"/>
  <c r="AJ3"/>
  <c r="AN3"/>
  <c r="AS3"/>
  <c r="AW3"/>
  <c r="BA3"/>
  <c r="AI4"/>
  <c r="AM4"/>
  <c r="AQ4"/>
  <c r="AV4"/>
  <c r="AZ4"/>
  <c r="BD4"/>
  <c r="AH5"/>
  <c r="AL5"/>
  <c r="AP5"/>
  <c r="AU5"/>
  <c r="AY5"/>
  <c r="AG6"/>
  <c r="AK6"/>
  <c r="AO6"/>
  <c r="AT6"/>
  <c r="AX6"/>
  <c r="BB6"/>
  <c r="AF17"/>
  <c r="AJ17"/>
  <c r="AN17"/>
  <c r="AS17"/>
  <c r="AW17"/>
  <c r="BA17"/>
  <c r="AI18"/>
  <c r="AM18"/>
  <c r="AQ18"/>
  <c r="AV18"/>
  <c r="AZ18"/>
  <c r="BD18"/>
  <c r="AH19"/>
  <c r="AL19"/>
  <c r="AP19"/>
  <c r="AU19"/>
  <c r="AY19"/>
  <c r="AG20"/>
  <c r="AK20"/>
  <c r="AO20"/>
  <c r="AT20"/>
  <c r="AX20"/>
  <c r="BB20"/>
  <c r="F3"/>
  <c r="AH3"/>
  <c r="AP3"/>
  <c r="AY3"/>
  <c r="AH17"/>
  <c r="AP17"/>
  <c r="AY17"/>
  <c r="AG3"/>
  <c r="AO3"/>
  <c r="AI3"/>
  <c r="AM3"/>
  <c r="AQ3"/>
  <c r="AV3"/>
  <c r="AZ3"/>
  <c r="AH4"/>
  <c r="AL4"/>
  <c r="AP4"/>
  <c r="AU4"/>
  <c r="AY4"/>
  <c r="AF6"/>
  <c r="AJ6"/>
  <c r="AN6"/>
  <c r="AS6"/>
  <c r="AW6"/>
  <c r="AI17"/>
  <c r="AM17"/>
  <c r="AQ17"/>
  <c r="AV17"/>
  <c r="AZ17"/>
  <c r="AH18"/>
  <c r="AL18"/>
  <c r="AP18"/>
  <c r="AU18"/>
  <c r="AY18"/>
  <c r="AF20"/>
  <c r="AJ20"/>
  <c r="AN20"/>
  <c r="AS20"/>
  <c r="AW20"/>
  <c r="W19" i="30"/>
  <c r="T19"/>
  <c r="W17" i="29"/>
  <c r="T17"/>
  <c r="L41"/>
  <c r="W25"/>
  <c r="J41"/>
  <c r="U89" s="1"/>
  <c r="T23"/>
  <c r="I46" s="1"/>
  <c r="T90" s="1"/>
  <c r="I41"/>
  <c r="I42" s="1"/>
  <c r="I43" s="1"/>
  <c r="T25"/>
  <c r="T26" s="1"/>
  <c r="T19"/>
  <c r="W19"/>
  <c r="W23"/>
  <c r="L46" s="1"/>
  <c r="E26"/>
  <c r="E50"/>
  <c r="E92"/>
  <c r="W17" i="30"/>
  <c r="T17"/>
  <c r="Q25"/>
  <c r="Q26" s="1"/>
  <c r="W23"/>
  <c r="T23"/>
  <c r="I46" s="1"/>
  <c r="T90" s="1"/>
  <c r="R23"/>
  <c r="G46" s="1"/>
  <c r="R90" s="1"/>
  <c r="L46"/>
  <c r="W90" s="1"/>
  <c r="W25"/>
  <c r="L41"/>
  <c r="W89"/>
  <c r="R25"/>
  <c r="G51" s="1"/>
  <c r="R92" s="1"/>
  <c r="G41"/>
  <c r="R89" s="1"/>
  <c r="I30"/>
  <c r="I28"/>
  <c r="K51"/>
  <c r="D26"/>
  <c r="D30" s="1"/>
  <c r="D50"/>
  <c r="J28" i="29"/>
  <c r="J60" s="1"/>
  <c r="H56"/>
  <c r="S93" s="1"/>
  <c r="S30"/>
  <c r="J92"/>
  <c r="V26"/>
  <c r="K56" s="1"/>
  <c r="K51"/>
  <c r="V92" s="1"/>
  <c r="D51"/>
  <c r="O92" s="1"/>
  <c r="O26"/>
  <c r="D56" s="1"/>
  <c r="O93" s="1"/>
  <c r="K92"/>
  <c r="G92"/>
  <c r="K55"/>
  <c r="K28"/>
  <c r="K30"/>
  <c r="K65" s="1"/>
  <c r="G28"/>
  <c r="D42"/>
  <c r="D43" s="1"/>
  <c r="X43" i="9"/>
  <c r="W43"/>
  <c r="V43"/>
  <c r="U43"/>
  <c r="T43"/>
  <c r="S43"/>
  <c r="R43"/>
  <c r="Q43"/>
  <c r="P43"/>
  <c r="O43"/>
  <c r="N43"/>
  <c r="M43"/>
  <c r="L43"/>
  <c r="K43"/>
  <c r="J43"/>
  <c r="I43"/>
  <c r="H43"/>
  <c r="G43"/>
  <c r="F43"/>
  <c r="E43"/>
  <c r="X64"/>
  <c r="W64"/>
  <c r="V64"/>
  <c r="U64"/>
  <c r="T64"/>
  <c r="S64"/>
  <c r="R64"/>
  <c r="Q64"/>
  <c r="P64"/>
  <c r="O64"/>
  <c r="N64"/>
  <c r="M64"/>
  <c r="L64"/>
  <c r="K64"/>
  <c r="J64"/>
  <c r="I64"/>
  <c r="H64"/>
  <c r="G64"/>
  <c r="F64"/>
  <c r="E64"/>
  <c r="X101"/>
  <c r="W101"/>
  <c r="V101"/>
  <c r="U101"/>
  <c r="T101"/>
  <c r="S101"/>
  <c r="R101"/>
  <c r="Q101"/>
  <c r="P101"/>
  <c r="O101"/>
  <c r="N101"/>
  <c r="M101"/>
  <c r="L101"/>
  <c r="K101"/>
  <c r="J101"/>
  <c r="I101"/>
  <c r="H101"/>
  <c r="G101"/>
  <c r="F101"/>
  <c r="E101"/>
  <c r="X120" i="8"/>
  <c r="W120"/>
  <c r="V120"/>
  <c r="U120"/>
  <c r="T120"/>
  <c r="S120"/>
  <c r="R120"/>
  <c r="Q120"/>
  <c r="P120"/>
  <c r="O120"/>
  <c r="N120"/>
  <c r="M120"/>
  <c r="L120"/>
  <c r="K120"/>
  <c r="J120"/>
  <c r="I120"/>
  <c r="H120"/>
  <c r="G120"/>
  <c r="F120"/>
  <c r="E120"/>
  <c r="X83"/>
  <c r="W83"/>
  <c r="V83"/>
  <c r="U83"/>
  <c r="T83"/>
  <c r="S83"/>
  <c r="R83"/>
  <c r="Q83"/>
  <c r="P83"/>
  <c r="O83"/>
  <c r="N83"/>
  <c r="M83"/>
  <c r="L83"/>
  <c r="K83"/>
  <c r="J83"/>
  <c r="I83"/>
  <c r="H83"/>
  <c r="G83"/>
  <c r="F83"/>
  <c r="E83"/>
  <c r="X60"/>
  <c r="W60"/>
  <c r="V60"/>
  <c r="U60"/>
  <c r="T60"/>
  <c r="S60"/>
  <c r="R60"/>
  <c r="Q60"/>
  <c r="P60"/>
  <c r="O60"/>
  <c r="N60"/>
  <c r="M60"/>
  <c r="L60"/>
  <c r="K60"/>
  <c r="J60"/>
  <c r="I60"/>
  <c r="H60"/>
  <c r="G60"/>
  <c r="F60"/>
  <c r="E60"/>
  <c r="I51" i="29"/>
  <c r="T92" s="1"/>
  <c r="L51"/>
  <c r="W26"/>
  <c r="L56" s="1"/>
  <c r="W93" s="1"/>
  <c r="W89"/>
  <c r="L42"/>
  <c r="L43" s="1"/>
  <c r="F51" i="30"/>
  <c r="Q92" s="1"/>
  <c r="E28" i="29"/>
  <c r="E55"/>
  <c r="E93" s="1"/>
  <c r="E30"/>
  <c r="W26" i="30"/>
  <c r="W30" s="1"/>
  <c r="L51"/>
  <c r="W92" s="1"/>
  <c r="K52" i="29"/>
  <c r="K53" s="1"/>
  <c r="V92" i="30"/>
  <c r="H66" i="29"/>
  <c r="S95" s="1"/>
  <c r="K93"/>
  <c r="O28"/>
  <c r="D61" s="1"/>
  <c r="O94" s="1"/>
  <c r="K60"/>
  <c r="B56" i="9"/>
  <c r="H15" i="26" s="1"/>
  <c r="A56" i="9"/>
  <c r="G15" i="26" s="1"/>
  <c r="E60" i="29"/>
  <c r="W92"/>
  <c r="E65"/>
  <c r="E95" s="1"/>
  <c r="K94"/>
  <c r="A73" i="8"/>
  <c r="G29" i="26" s="1"/>
  <c r="B73" i="8"/>
  <c r="H29" i="26" s="1"/>
  <c r="A11" i="3"/>
  <c r="I24" i="19"/>
  <c r="I11" i="3"/>
  <c r="J24" i="19"/>
  <c r="J11" i="3"/>
  <c r="K24" i="19"/>
  <c r="K11" i="3"/>
  <c r="L24" i="19"/>
  <c r="L11" i="3"/>
  <c r="M24" i="19"/>
  <c r="M11" i="3"/>
  <c r="N24" i="19"/>
  <c r="N11" i="3"/>
  <c r="X145" i="9"/>
  <c r="W145"/>
  <c r="V145"/>
  <c r="U145"/>
  <c r="T145"/>
  <c r="S145"/>
  <c r="R145"/>
  <c r="Q145"/>
  <c r="P145"/>
  <c r="O145"/>
  <c r="N145"/>
  <c r="M145"/>
  <c r="L145"/>
  <c r="K145"/>
  <c r="J145"/>
  <c r="I145"/>
  <c r="H145"/>
  <c r="G145"/>
  <c r="F145"/>
  <c r="E145"/>
  <c r="X12"/>
  <c r="W12"/>
  <c r="V12"/>
  <c r="U12"/>
  <c r="T12"/>
  <c r="S12"/>
  <c r="R12"/>
  <c r="Q12"/>
  <c r="P12"/>
  <c r="O12"/>
  <c r="N12"/>
  <c r="M12"/>
  <c r="L12"/>
  <c r="K12"/>
  <c r="J12"/>
  <c r="I12"/>
  <c r="H12"/>
  <c r="G12"/>
  <c r="F12"/>
  <c r="E12"/>
  <c r="X21" i="8"/>
  <c r="W21"/>
  <c r="V21"/>
  <c r="U21"/>
  <c r="T21"/>
  <c r="S21"/>
  <c r="R21"/>
  <c r="Q21"/>
  <c r="P21"/>
  <c r="O21"/>
  <c r="N21"/>
  <c r="M21"/>
  <c r="L21"/>
  <c r="K21"/>
  <c r="J21"/>
  <c r="I21"/>
  <c r="H21"/>
  <c r="G21"/>
  <c r="F21"/>
  <c r="E21"/>
  <c r="X12"/>
  <c r="W12"/>
  <c r="V12"/>
  <c r="U12"/>
  <c r="T12"/>
  <c r="S12"/>
  <c r="R12"/>
  <c r="Q12"/>
  <c r="P12"/>
  <c r="O12"/>
  <c r="N12"/>
  <c r="M12"/>
  <c r="L12"/>
  <c r="K12"/>
  <c r="J12"/>
  <c r="I12"/>
  <c r="H12"/>
  <c r="G12"/>
  <c r="F12"/>
  <c r="E12"/>
  <c r="E104" i="15"/>
  <c r="D104"/>
  <c r="C55" i="14"/>
  <c r="F104" i="15"/>
  <c r="A9" i="3"/>
  <c r="A10"/>
  <c r="A8"/>
  <c r="D29" i="14"/>
  <c r="D28"/>
  <c r="D27"/>
  <c r="A8" i="19"/>
  <c r="B8"/>
  <c r="B9" i="3"/>
  <c r="I8" i="19"/>
  <c r="I22"/>
  <c r="I9" i="3"/>
  <c r="J8" i="19"/>
  <c r="J22"/>
  <c r="J9" i="3"/>
  <c r="K8" i="19"/>
  <c r="K22"/>
  <c r="K9" i="3"/>
  <c r="L8" i="19"/>
  <c r="L22"/>
  <c r="L9" i="3"/>
  <c r="M8" i="19"/>
  <c r="M22"/>
  <c r="M9" i="3"/>
  <c r="N8" i="19"/>
  <c r="N22"/>
  <c r="N9" i="3"/>
  <c r="P8" i="19"/>
  <c r="P22"/>
  <c r="A9"/>
  <c r="B9"/>
  <c r="B11" i="3"/>
  <c r="I9" i="19"/>
  <c r="I23"/>
  <c r="I10" i="3"/>
  <c r="J9" i="19"/>
  <c r="J23"/>
  <c r="J10" i="3"/>
  <c r="K9" i="19"/>
  <c r="K23"/>
  <c r="K10" i="3"/>
  <c r="L9" i="19"/>
  <c r="L23"/>
  <c r="L10" i="3"/>
  <c r="M9" i="19"/>
  <c r="M23"/>
  <c r="M10" i="3"/>
  <c r="N9" i="19"/>
  <c r="N23"/>
  <c r="N10" i="3"/>
  <c r="P9" i="19"/>
  <c r="P23"/>
  <c r="B7"/>
  <c r="B8" i="3"/>
  <c r="I7" i="19"/>
  <c r="I21"/>
  <c r="I8" i="3"/>
  <c r="J7" i="19"/>
  <c r="J21"/>
  <c r="J8" i="3"/>
  <c r="K7" i="19"/>
  <c r="K21"/>
  <c r="K8" i="3"/>
  <c r="L7" i="19"/>
  <c r="L21"/>
  <c r="L8" i="3"/>
  <c r="M7" i="19"/>
  <c r="M21"/>
  <c r="M8" i="3"/>
  <c r="N7" i="19"/>
  <c r="N21"/>
  <c r="N8" i="3"/>
  <c r="P7" i="19"/>
  <c r="P21"/>
  <c r="A7"/>
  <c r="B10" i="3"/>
  <c r="B70" i="8"/>
  <c r="H26" i="26" s="1"/>
  <c r="B65" i="8"/>
  <c r="H21" i="26" s="1"/>
  <c r="B66" i="8"/>
  <c r="H22" i="26" s="1"/>
  <c r="A65" i="8"/>
  <c r="G21" i="26" s="1"/>
  <c r="B69" i="8"/>
  <c r="H25" i="26" s="1"/>
  <c r="A70" i="8"/>
  <c r="G26" i="26" s="1"/>
  <c r="A66" i="8"/>
  <c r="G22" i="26" s="1"/>
  <c r="A69" i="8"/>
  <c r="G25" i="26" s="1"/>
  <c r="B62" i="8"/>
  <c r="H18" i="26" s="1"/>
  <c r="A62" i="8"/>
  <c r="G18" i="26" s="1"/>
  <c r="A61" i="8"/>
  <c r="G17" i="26" s="1"/>
  <c r="B61" i="8"/>
  <c r="H17" i="26"/>
  <c r="B50" i="9"/>
  <c r="H9" i="26" s="1"/>
  <c r="M53" i="6"/>
  <c r="AF34"/>
  <c r="Q29"/>
  <c r="D19" i="14"/>
  <c r="B55" i="9"/>
  <c r="H14" i="26" s="1"/>
  <c r="A52" i="9"/>
  <c r="G11" i="26" s="1"/>
  <c r="B54" i="9"/>
  <c r="H13" i="26" s="1"/>
  <c r="B51" i="9"/>
  <c r="H10" i="26" s="1"/>
  <c r="B48" i="9"/>
  <c r="H7" i="26"/>
  <c r="B52" i="9"/>
  <c r="H11" i="26" s="1"/>
  <c r="A48" i="9"/>
  <c r="G7" i="26" s="1"/>
  <c r="B53" i="9"/>
  <c r="H12" i="26" s="1"/>
  <c r="A53" i="9"/>
  <c r="G12" i="26" s="1"/>
  <c r="B49" i="9"/>
  <c r="H8" i="26" s="1"/>
  <c r="A49" i="9"/>
  <c r="G8" i="26" s="1"/>
  <c r="G28"/>
  <c r="A71" i="8"/>
  <c r="G27" i="26"/>
  <c r="B71" i="8"/>
  <c r="H27" i="26" s="1"/>
  <c r="B68" i="8"/>
  <c r="H24" i="26" s="1"/>
  <c r="A68" i="8"/>
  <c r="G24" i="26" s="1"/>
  <c r="A51" i="9"/>
  <c r="G10" i="26" s="1"/>
  <c r="B67" i="8"/>
  <c r="H23" i="26" s="1"/>
  <c r="A67" i="8"/>
  <c r="G23" i="26" s="1"/>
  <c r="A54" i="9"/>
  <c r="G13" i="26" s="1"/>
  <c r="A50" i="9"/>
  <c r="G9" i="26" s="1"/>
  <c r="B63" i="8"/>
  <c r="H19" i="26" s="1"/>
  <c r="A63" i="8"/>
  <c r="G19" i="26" s="1"/>
  <c r="A64" i="8"/>
  <c r="G20" i="26" s="1"/>
  <c r="B64" i="8"/>
  <c r="H20" i="26" s="1"/>
  <c r="A55" i="9"/>
  <c r="G14" i="26" s="1"/>
  <c r="G10" i="18"/>
  <c r="G9"/>
  <c r="G8" i="19"/>
  <c r="G22"/>
  <c r="F10" i="18"/>
  <c r="F9"/>
  <c r="F8" i="19"/>
  <c r="F22"/>
  <c r="F9" i="3"/>
  <c r="D10" i="18"/>
  <c r="D9"/>
  <c r="D8" i="19"/>
  <c r="D22"/>
  <c r="D9" i="3"/>
  <c r="D8" i="18"/>
  <c r="D7" i="19"/>
  <c r="D21"/>
  <c r="D8" i="3"/>
  <c r="G8" i="18"/>
  <c r="G7" i="19"/>
  <c r="G21"/>
  <c r="F8" i="18"/>
  <c r="F7" i="19"/>
  <c r="F21"/>
  <c r="F8" i="3"/>
  <c r="E10" i="18"/>
  <c r="E24" i="19"/>
  <c r="E11" i="3"/>
  <c r="E9" i="18"/>
  <c r="E8"/>
  <c r="E7" i="19"/>
  <c r="E21"/>
  <c r="E8" i="3"/>
  <c r="G9" i="19"/>
  <c r="G23"/>
  <c r="G24"/>
  <c r="D9"/>
  <c r="D23"/>
  <c r="D10" i="3"/>
  <c r="D24" i="19"/>
  <c r="D11" i="3"/>
  <c r="F9" i="19"/>
  <c r="F23"/>
  <c r="F10" i="3"/>
  <c r="F24" i="19"/>
  <c r="F11" i="3"/>
  <c r="E9" i="19"/>
  <c r="E23"/>
  <c r="E10" i="3"/>
  <c r="E8" i="19"/>
  <c r="E22"/>
  <c r="E9" i="3"/>
  <c r="K20" i="15"/>
  <c r="O17"/>
  <c r="R17"/>
  <c r="L14"/>
  <c r="L15"/>
  <c r="K14"/>
  <c r="K15"/>
  <c r="J14"/>
  <c r="J15"/>
  <c r="I14"/>
  <c r="I15"/>
  <c r="H14"/>
  <c r="H15"/>
  <c r="G14"/>
  <c r="G15"/>
  <c r="F14"/>
  <c r="F22"/>
  <c r="F23" s="1"/>
  <c r="F45" s="1"/>
  <c r="E14"/>
  <c r="E15"/>
  <c r="D14"/>
  <c r="D15"/>
  <c r="AF87"/>
  <c r="AC87"/>
  <c r="Z87"/>
  <c r="U87"/>
  <c r="R87"/>
  <c r="O87"/>
  <c r="J87"/>
  <c r="G87"/>
  <c r="D87"/>
  <c r="J37"/>
  <c r="G37"/>
  <c r="D37"/>
  <c r="U9"/>
  <c r="R9"/>
  <c r="O9"/>
  <c r="B5"/>
  <c r="B4"/>
  <c r="B3"/>
  <c r="C56" i="14"/>
  <c r="Q14" i="15"/>
  <c r="Q15"/>
  <c r="B29" i="14"/>
  <c r="Q16" i="15"/>
  <c r="W16"/>
  <c r="P14"/>
  <c r="B28" i="14"/>
  <c r="G27"/>
  <c r="O19" i="15"/>
  <c r="U19"/>
  <c r="O14"/>
  <c r="B27" i="14"/>
  <c r="G26"/>
  <c r="L19" i="15"/>
  <c r="D17" i="14"/>
  <c r="D15"/>
  <c r="A5"/>
  <c r="A4"/>
  <c r="A3"/>
  <c r="L20" i="15"/>
  <c r="J20"/>
  <c r="U20"/>
  <c r="O16"/>
  <c r="F28" i="14"/>
  <c r="P17" i="15"/>
  <c r="V17"/>
  <c r="I21"/>
  <c r="T21"/>
  <c r="V20"/>
  <c r="J21"/>
  <c r="U21"/>
  <c r="O15"/>
  <c r="U14"/>
  <c r="U15"/>
  <c r="U17"/>
  <c r="F20"/>
  <c r="Q20"/>
  <c r="E21"/>
  <c r="P21"/>
  <c r="G20"/>
  <c r="R20"/>
  <c r="F21"/>
  <c r="Q21"/>
  <c r="F19"/>
  <c r="E19"/>
  <c r="I19"/>
  <c r="E20"/>
  <c r="P20"/>
  <c r="I20"/>
  <c r="T20"/>
  <c r="D21"/>
  <c r="O21"/>
  <c r="H21"/>
  <c r="S21"/>
  <c r="L21"/>
  <c r="W21"/>
  <c r="P16"/>
  <c r="S16"/>
  <c r="G19"/>
  <c r="K19"/>
  <c r="J19"/>
  <c r="D19"/>
  <c r="H19"/>
  <c r="D20"/>
  <c r="H20"/>
  <c r="S20"/>
  <c r="G21"/>
  <c r="R21"/>
  <c r="K21"/>
  <c r="V21"/>
  <c r="E22"/>
  <c r="I22"/>
  <c r="I25" s="1"/>
  <c r="F25"/>
  <c r="F26" s="1"/>
  <c r="S14"/>
  <c r="S15"/>
  <c r="F15"/>
  <c r="P15"/>
  <c r="T16"/>
  <c r="J22"/>
  <c r="J25" s="1"/>
  <c r="R14"/>
  <c r="R15"/>
  <c r="V14"/>
  <c r="V15"/>
  <c r="O22"/>
  <c r="D41" s="1"/>
  <c r="O89" s="1"/>
  <c r="R16"/>
  <c r="U16"/>
  <c r="D22"/>
  <c r="D23" s="1"/>
  <c r="D45" s="1"/>
  <c r="L22"/>
  <c r="L23" s="1"/>
  <c r="L45" s="1"/>
  <c r="W20"/>
  <c r="H22"/>
  <c r="H25" s="1"/>
  <c r="G22"/>
  <c r="G23" s="1"/>
  <c r="G45" s="1"/>
  <c r="Q22"/>
  <c r="F41" s="1"/>
  <c r="Q89" s="1"/>
  <c r="T14"/>
  <c r="T15"/>
  <c r="R19"/>
  <c r="K22"/>
  <c r="K25" s="1"/>
  <c r="W14"/>
  <c r="W15"/>
  <c r="S17"/>
  <c r="J23"/>
  <c r="J45" s="1"/>
  <c r="O20"/>
  <c r="F29" i="14"/>
  <c r="G28"/>
  <c r="P19" i="15"/>
  <c r="V19"/>
  <c r="U22"/>
  <c r="U23"/>
  <c r="J46" s="1"/>
  <c r="U90" s="1"/>
  <c r="V16"/>
  <c r="V22"/>
  <c r="F50"/>
  <c r="F92" s="1"/>
  <c r="P22"/>
  <c r="E41" s="1"/>
  <c r="P89" s="1"/>
  <c r="G29" i="14"/>
  <c r="Q19" i="15"/>
  <c r="Q17"/>
  <c r="Q25"/>
  <c r="F51" s="1"/>
  <c r="I23"/>
  <c r="I45" s="1"/>
  <c r="E23"/>
  <c r="E45" s="1"/>
  <c r="E40"/>
  <c r="E89" s="1"/>
  <c r="Q23"/>
  <c r="F46" s="1"/>
  <c r="Q90" s="1"/>
  <c r="R22"/>
  <c r="R25" s="1"/>
  <c r="K23"/>
  <c r="K45" s="1"/>
  <c r="T22"/>
  <c r="T25" s="1"/>
  <c r="S22"/>
  <c r="G25"/>
  <c r="G50" s="1"/>
  <c r="G40"/>
  <c r="O25"/>
  <c r="O26" s="1"/>
  <c r="K40"/>
  <c r="L25"/>
  <c r="L50" s="1"/>
  <c r="W22"/>
  <c r="S19"/>
  <c r="U25"/>
  <c r="U26" s="1"/>
  <c r="U24"/>
  <c r="J81" s="1"/>
  <c r="U91" s="1"/>
  <c r="K41"/>
  <c r="V89" s="1"/>
  <c r="AG89" s="1"/>
  <c r="V23"/>
  <c r="K46" s="1"/>
  <c r="V90" s="1"/>
  <c r="V25"/>
  <c r="V26"/>
  <c r="V28" s="1"/>
  <c r="K61" s="1"/>
  <c r="V94" s="1"/>
  <c r="J41"/>
  <c r="U89" s="1"/>
  <c r="P25"/>
  <c r="T19"/>
  <c r="W19"/>
  <c r="W17"/>
  <c r="W25"/>
  <c r="W26" s="1"/>
  <c r="T17"/>
  <c r="W23"/>
  <c r="L46" s="1"/>
  <c r="W90" s="1"/>
  <c r="S23"/>
  <c r="H46" s="1"/>
  <c r="S90" s="1"/>
  <c r="S25"/>
  <c r="H41"/>
  <c r="S89" s="1"/>
  <c r="R23"/>
  <c r="G46" s="1"/>
  <c r="R90" s="1"/>
  <c r="G26"/>
  <c r="G30" s="1"/>
  <c r="G65" s="1"/>
  <c r="K89"/>
  <c r="G89"/>
  <c r="L41"/>
  <c r="L26"/>
  <c r="L30" s="1"/>
  <c r="L65" s="1"/>
  <c r="Q26"/>
  <c r="F56" s="1"/>
  <c r="Q93" s="1"/>
  <c r="D51"/>
  <c r="O92" s="1"/>
  <c r="K51"/>
  <c r="V92"/>
  <c r="P26"/>
  <c r="P28" s="1"/>
  <c r="E61" s="1"/>
  <c r="P94" s="1"/>
  <c r="E51"/>
  <c r="P92" s="1"/>
  <c r="H51"/>
  <c r="S92" s="1"/>
  <c r="S26"/>
  <c r="S28" s="1"/>
  <c r="H61" s="1"/>
  <c r="S94" s="1"/>
  <c r="W89"/>
  <c r="K56"/>
  <c r="V93" s="1"/>
  <c r="Q28"/>
  <c r="F61" s="1"/>
  <c r="Q94" s="1"/>
  <c r="Q30"/>
  <c r="F66" s="1"/>
  <c r="Q95" s="1"/>
  <c r="L28"/>
  <c r="L60" s="1"/>
  <c r="P30"/>
  <c r="S30"/>
  <c r="H66" s="1"/>
  <c r="S95" s="1"/>
  <c r="H56"/>
  <c r="S93" s="1"/>
  <c r="E66"/>
  <c r="P95"/>
  <c r="D3" i="11"/>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2"/>
  <c r="E2"/>
  <c r="B8" i="6"/>
  <c r="J3" i="12"/>
  <c r="J4"/>
  <c r="E7"/>
  <c r="J5"/>
  <c r="J6"/>
  <c r="J7"/>
  <c r="J8"/>
  <c r="J9"/>
  <c r="J10"/>
  <c r="J11"/>
  <c r="J12"/>
  <c r="J13"/>
  <c r="J14"/>
  <c r="J15"/>
  <c r="J16"/>
  <c r="J17"/>
  <c r="J18"/>
  <c r="J19"/>
  <c r="J20"/>
  <c r="J21"/>
  <c r="J22"/>
  <c r="J23"/>
  <c r="J24"/>
  <c r="J25"/>
  <c r="J26"/>
  <c r="J27"/>
  <c r="J28"/>
  <c r="J29"/>
  <c r="J30"/>
  <c r="J31"/>
  <c r="J32"/>
  <c r="J33"/>
  <c r="J34"/>
  <c r="J35"/>
  <c r="J36"/>
  <c r="J37"/>
  <c r="J38"/>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4"/>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J294"/>
  <c r="J295"/>
  <c r="J296"/>
  <c r="J297"/>
  <c r="J298"/>
  <c r="J299"/>
  <c r="J300"/>
  <c r="J301"/>
  <c r="J302"/>
  <c r="J303"/>
  <c r="J304"/>
  <c r="J305"/>
  <c r="J306"/>
  <c r="J307"/>
  <c r="J308"/>
  <c r="J309"/>
  <c r="J310"/>
  <c r="J311"/>
  <c r="J312"/>
  <c r="J313"/>
  <c r="J314"/>
  <c r="J315"/>
  <c r="J316"/>
  <c r="J317"/>
  <c r="J318"/>
  <c r="J319"/>
  <c r="J320"/>
  <c r="J321"/>
  <c r="J322"/>
  <c r="J323"/>
  <c r="J324"/>
  <c r="J325"/>
  <c r="J326"/>
  <c r="J327"/>
  <c r="J328"/>
  <c r="J329"/>
  <c r="J330"/>
  <c r="J331"/>
  <c r="J332"/>
  <c r="J333"/>
  <c r="J334"/>
  <c r="J335"/>
  <c r="J336"/>
  <c r="J337"/>
  <c r="J338"/>
  <c r="J339"/>
  <c r="J340"/>
  <c r="J341"/>
  <c r="J342"/>
  <c r="J343"/>
  <c r="J344"/>
  <c r="J345"/>
  <c r="J346"/>
  <c r="J347"/>
  <c r="J348"/>
  <c r="J349"/>
  <c r="J350"/>
  <c r="J351"/>
  <c r="J352"/>
  <c r="J353"/>
  <c r="J354"/>
  <c r="J355"/>
  <c r="J356"/>
  <c r="J357"/>
  <c r="J358"/>
  <c r="J359"/>
  <c r="J360"/>
  <c r="J361"/>
  <c r="J362"/>
  <c r="J363"/>
  <c r="J364"/>
  <c r="J365"/>
  <c r="J366"/>
  <c r="J367"/>
  <c r="J368"/>
  <c r="J369"/>
  <c r="J370"/>
  <c r="J371"/>
  <c r="J372"/>
  <c r="J373"/>
  <c r="J374"/>
  <c r="J375"/>
  <c r="J376"/>
  <c r="J377"/>
  <c r="J378"/>
  <c r="J379"/>
  <c r="J380"/>
  <c r="J381"/>
  <c r="J382"/>
  <c r="J383"/>
  <c r="J384"/>
  <c r="J385"/>
  <c r="J386"/>
  <c r="J387"/>
  <c r="J388"/>
  <c r="J389"/>
  <c r="J390"/>
  <c r="J391"/>
  <c r="J392"/>
  <c r="J393"/>
  <c r="J394"/>
  <c r="J395"/>
  <c r="J396"/>
  <c r="J397"/>
  <c r="J398"/>
  <c r="J399"/>
  <c r="J400"/>
  <c r="J401"/>
  <c r="J402"/>
  <c r="J403"/>
  <c r="J404"/>
  <c r="J405"/>
  <c r="J406"/>
  <c r="J407"/>
  <c r="J408"/>
  <c r="J409"/>
  <c r="J410"/>
  <c r="J411"/>
  <c r="J412"/>
  <c r="J413"/>
  <c r="J414"/>
  <c r="J415"/>
  <c r="J416"/>
  <c r="J417"/>
  <c r="J418"/>
  <c r="J419"/>
  <c r="J420"/>
  <c r="J421"/>
  <c r="J422"/>
  <c r="J423"/>
  <c r="J424"/>
  <c r="J425"/>
  <c r="J426"/>
  <c r="J427"/>
  <c r="J428"/>
  <c r="J429"/>
  <c r="J430"/>
  <c r="J431"/>
  <c r="J432"/>
  <c r="J433"/>
  <c r="J434"/>
  <c r="J435"/>
  <c r="J436"/>
  <c r="J437"/>
  <c r="J438"/>
  <c r="J439"/>
  <c r="J440"/>
  <c r="J441"/>
  <c r="J442"/>
  <c r="J443"/>
  <c r="J444"/>
  <c r="J445"/>
  <c r="J446"/>
  <c r="J447"/>
  <c r="J448"/>
  <c r="J449"/>
  <c r="J450"/>
  <c r="J451"/>
  <c r="J452"/>
  <c r="J453"/>
  <c r="J454"/>
  <c r="J455"/>
  <c r="J456"/>
  <c r="J457"/>
  <c r="J458"/>
  <c r="J459"/>
  <c r="J460"/>
  <c r="J461"/>
  <c r="J462"/>
  <c r="J463"/>
  <c r="J464"/>
  <c r="J465"/>
  <c r="J466"/>
  <c r="J467"/>
  <c r="J468"/>
  <c r="J469"/>
  <c r="J470"/>
  <c r="J471"/>
  <c r="J472"/>
  <c r="J473"/>
  <c r="J474"/>
  <c r="J475"/>
  <c r="J476"/>
  <c r="J477"/>
  <c r="J478"/>
  <c r="J479"/>
  <c r="J480"/>
  <c r="J481"/>
  <c r="J482"/>
  <c r="J483"/>
  <c r="J484"/>
  <c r="J485"/>
  <c r="J486"/>
  <c r="J487"/>
  <c r="J488"/>
  <c r="J489"/>
  <c r="J490"/>
  <c r="J491"/>
  <c r="J492"/>
  <c r="J493"/>
  <c r="J494"/>
  <c r="J495"/>
  <c r="J496"/>
  <c r="J497"/>
  <c r="J498"/>
  <c r="J499"/>
  <c r="J500"/>
  <c r="J501"/>
  <c r="J502"/>
  <c r="J503"/>
  <c r="J504"/>
  <c r="J505"/>
  <c r="J506"/>
  <c r="J507"/>
  <c r="J508"/>
  <c r="J509"/>
  <c r="J510"/>
  <c r="J511"/>
  <c r="J512"/>
  <c r="J513"/>
  <c r="J514"/>
  <c r="J515"/>
  <c r="J516"/>
  <c r="J517"/>
  <c r="J518"/>
  <c r="J519"/>
  <c r="J520"/>
  <c r="J521"/>
  <c r="J522"/>
  <c r="J523"/>
  <c r="J524"/>
  <c r="J525"/>
  <c r="J526"/>
  <c r="J527"/>
  <c r="J528"/>
  <c r="J529"/>
  <c r="J530"/>
  <c r="J531"/>
  <c r="J532"/>
  <c r="J533"/>
  <c r="J534"/>
  <c r="J535"/>
  <c r="J536"/>
  <c r="J537"/>
  <c r="J538"/>
  <c r="J539"/>
  <c r="J540"/>
  <c r="J541"/>
  <c r="J542"/>
  <c r="J543"/>
  <c r="J544"/>
  <c r="J545"/>
  <c r="J546"/>
  <c r="J547"/>
  <c r="J548"/>
  <c r="J549"/>
  <c r="J550"/>
  <c r="J551"/>
  <c r="J552"/>
  <c r="J553"/>
  <c r="J2"/>
  <c r="E5"/>
  <c r="F3" i="10"/>
  <c r="F4"/>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35"/>
  <c r="F1036"/>
  <c r="F1037"/>
  <c r="F1038"/>
  <c r="F1039"/>
  <c r="F1040"/>
  <c r="F1041"/>
  <c r="F1042"/>
  <c r="F1043"/>
  <c r="F1044"/>
  <c r="F1045"/>
  <c r="F1046"/>
  <c r="F1047"/>
  <c r="F1048"/>
  <c r="F1049"/>
  <c r="F1050"/>
  <c r="F1051"/>
  <c r="F1052"/>
  <c r="F1053"/>
  <c r="F1054"/>
  <c r="F1055"/>
  <c r="F1056"/>
  <c r="F1057"/>
  <c r="F1058"/>
  <c r="F1059"/>
  <c r="F1060"/>
  <c r="F1061"/>
  <c r="F1062"/>
  <c r="F1063"/>
  <c r="F1064"/>
  <c r="F1065"/>
  <c r="F1066"/>
  <c r="F1067"/>
  <c r="F1068"/>
  <c r="F1069"/>
  <c r="F1070"/>
  <c r="F1071"/>
  <c r="F1072"/>
  <c r="F1073"/>
  <c r="F1074"/>
  <c r="F1075"/>
  <c r="F1076"/>
  <c r="F1077"/>
  <c r="F1078"/>
  <c r="F1079"/>
  <c r="F1080"/>
  <c r="F1081"/>
  <c r="F1082"/>
  <c r="F1083"/>
  <c r="F1084"/>
  <c r="F1085"/>
  <c r="F1086"/>
  <c r="F1087"/>
  <c r="F1088"/>
  <c r="F1089"/>
  <c r="F1090"/>
  <c r="F1091"/>
  <c r="F1092"/>
  <c r="F1093"/>
  <c r="F1094"/>
  <c r="F1095"/>
  <c r="F1096"/>
  <c r="F1097"/>
  <c r="F1098"/>
  <c r="F1099"/>
  <c r="F1100"/>
  <c r="F1101"/>
  <c r="F1102"/>
  <c r="F1103"/>
  <c r="F1104"/>
  <c r="F1105"/>
  <c r="F1106"/>
  <c r="F1107"/>
  <c r="F1108"/>
  <c r="F1109"/>
  <c r="F1110"/>
  <c r="F1111"/>
  <c r="F1112"/>
  <c r="F1113"/>
  <c r="F1114"/>
  <c r="F1115"/>
  <c r="F1116"/>
  <c r="F1117"/>
  <c r="F1118"/>
  <c r="F1119"/>
  <c r="F1120"/>
  <c r="F1121"/>
  <c r="F1122"/>
  <c r="F1123"/>
  <c r="F1124"/>
  <c r="F1125"/>
  <c r="F1126"/>
  <c r="F1127"/>
  <c r="F1128"/>
  <c r="F1129"/>
  <c r="F1130"/>
  <c r="F1131"/>
  <c r="F1132"/>
  <c r="F1133"/>
  <c r="F1134"/>
  <c r="F1135"/>
  <c r="F1136"/>
  <c r="F1137"/>
  <c r="F1138"/>
  <c r="F1139"/>
  <c r="F1140"/>
  <c r="F1141"/>
  <c r="F1142"/>
  <c r="F1143"/>
  <c r="F1144"/>
  <c r="F1145"/>
  <c r="F1146"/>
  <c r="F1147"/>
  <c r="F1148"/>
  <c r="F1149"/>
  <c r="F1150"/>
  <c r="F1151"/>
  <c r="F1152"/>
  <c r="F1153"/>
  <c r="F1154"/>
  <c r="F1155"/>
  <c r="F1156"/>
  <c r="F1157"/>
  <c r="F1158"/>
  <c r="F1159"/>
  <c r="F1160"/>
  <c r="F1161"/>
  <c r="F1162"/>
  <c r="F1163"/>
  <c r="F1164"/>
  <c r="F1165"/>
  <c r="F1166"/>
  <c r="F1167"/>
  <c r="F1168"/>
  <c r="F1169"/>
  <c r="F1170"/>
  <c r="F1171"/>
  <c r="F1172"/>
  <c r="F1173"/>
  <c r="F1174"/>
  <c r="F1175"/>
  <c r="F1176"/>
  <c r="F1177"/>
  <c r="F1178"/>
  <c r="F1179"/>
  <c r="F1180"/>
  <c r="F1181"/>
  <c r="F1182"/>
  <c r="F1183"/>
  <c r="F1184"/>
  <c r="F1185"/>
  <c r="F1186"/>
  <c r="F1187"/>
  <c r="F1188"/>
  <c r="F1189"/>
  <c r="F1190"/>
  <c r="F1191"/>
  <c r="F1192"/>
  <c r="F1193"/>
  <c r="F1194"/>
  <c r="F1195"/>
  <c r="F1196"/>
  <c r="F1197"/>
  <c r="F1198"/>
  <c r="F1199"/>
  <c r="F1200"/>
  <c r="F1201"/>
  <c r="F1202"/>
  <c r="F1203"/>
  <c r="F1204"/>
  <c r="F1205"/>
  <c r="F1206"/>
  <c r="F1207"/>
  <c r="F1208"/>
  <c r="F1209"/>
  <c r="F1210"/>
  <c r="F1211"/>
  <c r="F1212"/>
  <c r="F1213"/>
  <c r="F1214"/>
  <c r="F1215"/>
  <c r="F1216"/>
  <c r="F1217"/>
  <c r="F1218"/>
  <c r="F1219"/>
  <c r="F1220"/>
  <c r="F1221"/>
  <c r="F1222"/>
  <c r="F1223"/>
  <c r="F1224"/>
  <c r="F1225"/>
  <c r="F1226"/>
  <c r="F1227"/>
  <c r="F1228"/>
  <c r="F1229"/>
  <c r="F1230"/>
  <c r="F1231"/>
  <c r="F1232"/>
  <c r="F1233"/>
  <c r="F1234"/>
  <c r="F1235"/>
  <c r="F1236"/>
  <c r="F1237"/>
  <c r="F1238"/>
  <c r="F1239"/>
  <c r="F1240"/>
  <c r="F1241"/>
  <c r="F1242"/>
  <c r="F1243"/>
  <c r="F1244"/>
  <c r="F1245"/>
  <c r="F1246"/>
  <c r="F1247"/>
  <c r="F1248"/>
  <c r="F1249"/>
  <c r="F1250"/>
  <c r="F1251"/>
  <c r="F1252"/>
  <c r="F1253"/>
  <c r="F1254"/>
  <c r="F1255"/>
  <c r="F1256"/>
  <c r="F1257"/>
  <c r="F1258"/>
  <c r="F1259"/>
  <c r="F1260"/>
  <c r="F1261"/>
  <c r="F1262"/>
  <c r="F1263"/>
  <c r="F1264"/>
  <c r="F1265"/>
  <c r="F1266"/>
  <c r="F1267"/>
  <c r="F1268"/>
  <c r="F1269"/>
  <c r="F1270"/>
  <c r="F1271"/>
  <c r="F1272"/>
  <c r="F1273"/>
  <c r="F1274"/>
  <c r="F1275"/>
  <c r="F1276"/>
  <c r="F1277"/>
  <c r="F1278"/>
  <c r="F1279"/>
  <c r="F1280"/>
  <c r="F1281"/>
  <c r="F1282"/>
  <c r="F1283"/>
  <c r="F1284"/>
  <c r="F1285"/>
  <c r="F1286"/>
  <c r="F1287"/>
  <c r="F1288"/>
  <c r="F1289"/>
  <c r="F1290"/>
  <c r="F1291"/>
  <c r="F1292"/>
  <c r="F1293"/>
  <c r="F1294"/>
  <c r="F1295"/>
  <c r="F1296"/>
  <c r="F1297"/>
  <c r="F1298"/>
  <c r="F1299"/>
  <c r="F1300"/>
  <c r="F1301"/>
  <c r="F1302"/>
  <c r="F1303"/>
  <c r="F1304"/>
  <c r="F1305"/>
  <c r="F1306"/>
  <c r="F1307"/>
  <c r="F1308"/>
  <c r="F1309"/>
  <c r="F1310"/>
  <c r="F1311"/>
  <c r="F1312"/>
  <c r="F1313"/>
  <c r="F1314"/>
  <c r="F1315"/>
  <c r="F1316"/>
  <c r="F1317"/>
  <c r="F1318"/>
  <c r="F1319"/>
  <c r="F1320"/>
  <c r="F1321"/>
  <c r="F1322"/>
  <c r="F1323"/>
  <c r="F1324"/>
  <c r="F1325"/>
  <c r="F1326"/>
  <c r="F1327"/>
  <c r="F1328"/>
  <c r="F1329"/>
  <c r="F1330"/>
  <c r="F1331"/>
  <c r="F1332"/>
  <c r="F1333"/>
  <c r="F1334"/>
  <c r="F1335"/>
  <c r="F1336"/>
  <c r="F1337"/>
  <c r="F1338"/>
  <c r="F1339"/>
  <c r="F1340"/>
  <c r="F1341"/>
  <c r="F1342"/>
  <c r="F1343"/>
  <c r="F1344"/>
  <c r="F1345"/>
  <c r="F1346"/>
  <c r="F1347"/>
  <c r="F1348"/>
  <c r="F1349"/>
  <c r="F1350"/>
  <c r="F1351"/>
  <c r="F1352"/>
  <c r="F1353"/>
  <c r="F1354"/>
  <c r="F1355"/>
  <c r="F1356"/>
  <c r="F1357"/>
  <c r="F1358"/>
  <c r="F1359"/>
  <c r="F1360"/>
  <c r="F1361"/>
  <c r="F1362"/>
  <c r="F1363"/>
  <c r="F1364"/>
  <c r="F1365"/>
  <c r="F1366"/>
  <c r="F1367"/>
  <c r="F1368"/>
  <c r="F1369"/>
  <c r="F1370"/>
  <c r="F1371"/>
  <c r="F1372"/>
  <c r="F1373"/>
  <c r="F1374"/>
  <c r="F1375"/>
  <c r="F1376"/>
  <c r="F1377"/>
  <c r="F1378"/>
  <c r="F1379"/>
  <c r="F1380"/>
  <c r="F1381"/>
  <c r="F1382"/>
  <c r="F1383"/>
  <c r="F1384"/>
  <c r="F1385"/>
  <c r="F1386"/>
  <c r="F1387"/>
  <c r="F1388"/>
  <c r="F1389"/>
  <c r="F1390"/>
  <c r="F1391"/>
  <c r="F1392"/>
  <c r="F1393"/>
  <c r="F1394"/>
  <c r="F1395"/>
  <c r="F1396"/>
  <c r="F1397"/>
  <c r="F1398"/>
  <c r="F1399"/>
  <c r="F1400"/>
  <c r="F1401"/>
  <c r="F1402"/>
  <c r="F1403"/>
  <c r="F2"/>
  <c r="G2"/>
  <c r="B5" i="6"/>
  <c r="E538" i="12"/>
  <c r="E533"/>
  <c r="E527"/>
  <c r="E522"/>
  <c r="E517"/>
  <c r="E511"/>
  <c r="E506"/>
  <c r="E501"/>
  <c r="E495"/>
  <c r="E490"/>
  <c r="E485"/>
  <c r="E479"/>
  <c r="E474"/>
  <c r="E469"/>
  <c r="E463"/>
  <c r="E458"/>
  <c r="E453"/>
  <c r="E447"/>
  <c r="E442"/>
  <c r="E437"/>
  <c r="E431"/>
  <c r="E426"/>
  <c r="E421"/>
  <c r="E415"/>
  <c r="E410"/>
  <c r="E405"/>
  <c r="E399"/>
  <c r="E394"/>
  <c r="E389"/>
  <c r="E383"/>
  <c r="E378"/>
  <c r="E373"/>
  <c r="E367"/>
  <c r="E362"/>
  <c r="E357"/>
  <c r="E351"/>
  <c r="E346"/>
  <c r="E341"/>
  <c r="E335"/>
  <c r="E327"/>
  <c r="E319"/>
  <c r="E311"/>
  <c r="E303"/>
  <c r="E295"/>
  <c r="E287"/>
  <c r="E279"/>
  <c r="E271"/>
  <c r="E263"/>
  <c r="E255"/>
  <c r="E247"/>
  <c r="E239"/>
  <c r="E231"/>
  <c r="E223"/>
  <c r="E215"/>
  <c r="E207"/>
  <c r="E199"/>
  <c r="E191"/>
  <c r="E183"/>
  <c r="E175"/>
  <c r="E167"/>
  <c r="E159"/>
  <c r="E151"/>
  <c r="E143"/>
  <c r="E135"/>
  <c r="E127"/>
  <c r="E119"/>
  <c r="E111"/>
  <c r="E103"/>
  <c r="E95"/>
  <c r="E87"/>
  <c r="E79"/>
  <c r="E71"/>
  <c r="E63"/>
  <c r="E55"/>
  <c r="E47"/>
  <c r="E39"/>
  <c r="E31"/>
  <c r="E23"/>
  <c r="E15"/>
  <c r="E537"/>
  <c r="E531"/>
  <c r="E526"/>
  <c r="E521"/>
  <c r="E515"/>
  <c r="E510"/>
  <c r="E505"/>
  <c r="E499"/>
  <c r="E494"/>
  <c r="E489"/>
  <c r="E483"/>
  <c r="E478"/>
  <c r="E473"/>
  <c r="E467"/>
  <c r="E462"/>
  <c r="E457"/>
  <c r="E451"/>
  <c r="E446"/>
  <c r="E441"/>
  <c r="E435"/>
  <c r="E430"/>
  <c r="E425"/>
  <c r="E419"/>
  <c r="E414"/>
  <c r="E409"/>
  <c r="E403"/>
  <c r="E398"/>
  <c r="E393"/>
  <c r="E387"/>
  <c r="E382"/>
  <c r="E377"/>
  <c r="E371"/>
  <c r="E366"/>
  <c r="E361"/>
  <c r="E355"/>
  <c r="E350"/>
  <c r="E345"/>
  <c r="E339"/>
  <c r="E333"/>
  <c r="E325"/>
  <c r="E317"/>
  <c r="E309"/>
  <c r="E301"/>
  <c r="E293"/>
  <c r="E285"/>
  <c r="E277"/>
  <c r="E269"/>
  <c r="E261"/>
  <c r="E253"/>
  <c r="E245"/>
  <c r="E237"/>
  <c r="E229"/>
  <c r="E221"/>
  <c r="E213"/>
  <c r="E205"/>
  <c r="E197"/>
  <c r="E189"/>
  <c r="E181"/>
  <c r="E173"/>
  <c r="E165"/>
  <c r="E157"/>
  <c r="E149"/>
  <c r="E141"/>
  <c r="E133"/>
  <c r="E125"/>
  <c r="E117"/>
  <c r="E109"/>
  <c r="E101"/>
  <c r="E93"/>
  <c r="E85"/>
  <c r="E77"/>
  <c r="E69"/>
  <c r="E61"/>
  <c r="E53"/>
  <c r="E45"/>
  <c r="E37"/>
  <c r="E29"/>
  <c r="E21"/>
  <c r="E13"/>
  <c r="E4"/>
  <c r="E8"/>
  <c r="E12"/>
  <c r="E16"/>
  <c r="E20"/>
  <c r="E24"/>
  <c r="E28"/>
  <c r="E32"/>
  <c r="E36"/>
  <c r="E40"/>
  <c r="E44"/>
  <c r="E48"/>
  <c r="E52"/>
  <c r="E56"/>
  <c r="E60"/>
  <c r="E64"/>
  <c r="E68"/>
  <c r="E72"/>
  <c r="E76"/>
  <c r="E80"/>
  <c r="E84"/>
  <c r="E88"/>
  <c r="E92"/>
  <c r="E96"/>
  <c r="E100"/>
  <c r="E104"/>
  <c r="E108"/>
  <c r="E112"/>
  <c r="E116"/>
  <c r="E120"/>
  <c r="E124"/>
  <c r="E128"/>
  <c r="E132"/>
  <c r="E136"/>
  <c r="E140"/>
  <c r="E144"/>
  <c r="E148"/>
  <c r="E152"/>
  <c r="E156"/>
  <c r="E160"/>
  <c r="E164"/>
  <c r="E168"/>
  <c r="E172"/>
  <c r="E176"/>
  <c r="E180"/>
  <c r="E184"/>
  <c r="E188"/>
  <c r="E192"/>
  <c r="E196"/>
  <c r="E200"/>
  <c r="E204"/>
  <c r="E208"/>
  <c r="E212"/>
  <c r="E216"/>
  <c r="E220"/>
  <c r="E224"/>
  <c r="E228"/>
  <c r="E232"/>
  <c r="E236"/>
  <c r="E240"/>
  <c r="E244"/>
  <c r="E248"/>
  <c r="E252"/>
  <c r="E256"/>
  <c r="E260"/>
  <c r="E264"/>
  <c r="E268"/>
  <c r="E272"/>
  <c r="E276"/>
  <c r="E280"/>
  <c r="E284"/>
  <c r="E288"/>
  <c r="E292"/>
  <c r="E296"/>
  <c r="E300"/>
  <c r="E304"/>
  <c r="E308"/>
  <c r="E312"/>
  <c r="E316"/>
  <c r="E320"/>
  <c r="E324"/>
  <c r="E328"/>
  <c r="E332"/>
  <c r="E336"/>
  <c r="E340"/>
  <c r="E344"/>
  <c r="E348"/>
  <c r="E352"/>
  <c r="E356"/>
  <c r="E360"/>
  <c r="E364"/>
  <c r="E368"/>
  <c r="E372"/>
  <c r="E376"/>
  <c r="E380"/>
  <c r="E384"/>
  <c r="E388"/>
  <c r="E392"/>
  <c r="E396"/>
  <c r="E400"/>
  <c r="E404"/>
  <c r="E408"/>
  <c r="E412"/>
  <c r="E416"/>
  <c r="E420"/>
  <c r="E424"/>
  <c r="E428"/>
  <c r="E432"/>
  <c r="E436"/>
  <c r="E440"/>
  <c r="E444"/>
  <c r="E448"/>
  <c r="E452"/>
  <c r="E456"/>
  <c r="E460"/>
  <c r="E464"/>
  <c r="E468"/>
  <c r="E472"/>
  <c r="E476"/>
  <c r="E480"/>
  <c r="E484"/>
  <c r="E488"/>
  <c r="E492"/>
  <c r="E496"/>
  <c r="E500"/>
  <c r="E504"/>
  <c r="E508"/>
  <c r="E512"/>
  <c r="E516"/>
  <c r="E520"/>
  <c r="E524"/>
  <c r="E528"/>
  <c r="E532"/>
  <c r="E536"/>
  <c r="E540"/>
  <c r="E6"/>
  <c r="E10"/>
  <c r="E14"/>
  <c r="E18"/>
  <c r="E22"/>
  <c r="E26"/>
  <c r="E30"/>
  <c r="E34"/>
  <c r="E38"/>
  <c r="E42"/>
  <c r="E46"/>
  <c r="E50"/>
  <c r="E54"/>
  <c r="E58"/>
  <c r="E62"/>
  <c r="E66"/>
  <c r="E70"/>
  <c r="E74"/>
  <c r="E78"/>
  <c r="E82"/>
  <c r="E86"/>
  <c r="E90"/>
  <c r="E94"/>
  <c r="E98"/>
  <c r="E102"/>
  <c r="E106"/>
  <c r="E110"/>
  <c r="E114"/>
  <c r="E118"/>
  <c r="E122"/>
  <c r="E126"/>
  <c r="E130"/>
  <c r="E134"/>
  <c r="E138"/>
  <c r="E142"/>
  <c r="E146"/>
  <c r="E150"/>
  <c r="E154"/>
  <c r="E158"/>
  <c r="E162"/>
  <c r="E166"/>
  <c r="E170"/>
  <c r="E174"/>
  <c r="E178"/>
  <c r="E182"/>
  <c r="E186"/>
  <c r="E190"/>
  <c r="E194"/>
  <c r="E198"/>
  <c r="E202"/>
  <c r="E206"/>
  <c r="E210"/>
  <c r="E214"/>
  <c r="E218"/>
  <c r="E222"/>
  <c r="E226"/>
  <c r="E230"/>
  <c r="E234"/>
  <c r="E238"/>
  <c r="E242"/>
  <c r="E246"/>
  <c r="E250"/>
  <c r="E254"/>
  <c r="E258"/>
  <c r="E262"/>
  <c r="E266"/>
  <c r="E270"/>
  <c r="E274"/>
  <c r="E278"/>
  <c r="E282"/>
  <c r="E286"/>
  <c r="E290"/>
  <c r="E294"/>
  <c r="E298"/>
  <c r="E302"/>
  <c r="E306"/>
  <c r="E310"/>
  <c r="E314"/>
  <c r="E318"/>
  <c r="E322"/>
  <c r="E326"/>
  <c r="E330"/>
  <c r="E334"/>
  <c r="E2"/>
  <c r="E535"/>
  <c r="E530"/>
  <c r="E525"/>
  <c r="E519"/>
  <c r="E514"/>
  <c r="E509"/>
  <c r="E503"/>
  <c r="E498"/>
  <c r="E493"/>
  <c r="E487"/>
  <c r="E482"/>
  <c r="E477"/>
  <c r="E471"/>
  <c r="E466"/>
  <c r="E461"/>
  <c r="E455"/>
  <c r="E450"/>
  <c r="E445"/>
  <c r="E439"/>
  <c r="E434"/>
  <c r="E429"/>
  <c r="E423"/>
  <c r="E418"/>
  <c r="E413"/>
  <c r="E407"/>
  <c r="E402"/>
  <c r="E397"/>
  <c r="E391"/>
  <c r="E386"/>
  <c r="E381"/>
  <c r="E375"/>
  <c r="E370"/>
  <c r="E365"/>
  <c r="E359"/>
  <c r="E354"/>
  <c r="E349"/>
  <c r="E343"/>
  <c r="E338"/>
  <c r="E331"/>
  <c r="E323"/>
  <c r="E315"/>
  <c r="E307"/>
  <c r="E299"/>
  <c r="E291"/>
  <c r="E283"/>
  <c r="E275"/>
  <c r="E267"/>
  <c r="E259"/>
  <c r="E251"/>
  <c r="E243"/>
  <c r="E235"/>
  <c r="E227"/>
  <c r="E219"/>
  <c r="E211"/>
  <c r="E203"/>
  <c r="E195"/>
  <c r="E187"/>
  <c r="E179"/>
  <c r="E171"/>
  <c r="E163"/>
  <c r="E155"/>
  <c r="E147"/>
  <c r="E139"/>
  <c r="E131"/>
  <c r="E123"/>
  <c r="E115"/>
  <c r="E107"/>
  <c r="E99"/>
  <c r="E91"/>
  <c r="E83"/>
  <c r="E75"/>
  <c r="E67"/>
  <c r="E59"/>
  <c r="E51"/>
  <c r="E43"/>
  <c r="E35"/>
  <c r="E27"/>
  <c r="E19"/>
  <c r="E11"/>
  <c r="E3"/>
  <c r="E539"/>
  <c r="E534"/>
  <c r="E529"/>
  <c r="E523"/>
  <c r="E518"/>
  <c r="E513"/>
  <c r="E507"/>
  <c r="E502"/>
  <c r="E497"/>
  <c r="E491"/>
  <c r="E486"/>
  <c r="E481"/>
  <c r="E475"/>
  <c r="E470"/>
  <c r="E465"/>
  <c r="E459"/>
  <c r="E454"/>
  <c r="E449"/>
  <c r="E443"/>
  <c r="E438"/>
  <c r="E433"/>
  <c r="E427"/>
  <c r="E422"/>
  <c r="E417"/>
  <c r="E411"/>
  <c r="E406"/>
  <c r="E401"/>
  <c r="E395"/>
  <c r="E390"/>
  <c r="E385"/>
  <c r="E379"/>
  <c r="E374"/>
  <c r="E369"/>
  <c r="E363"/>
  <c r="E358"/>
  <c r="E353"/>
  <c r="E347"/>
  <c r="E342"/>
  <c r="E337"/>
  <c r="E329"/>
  <c r="E321"/>
  <c r="E313"/>
  <c r="E305"/>
  <c r="E297"/>
  <c r="E289"/>
  <c r="E281"/>
  <c r="E273"/>
  <c r="E265"/>
  <c r="E257"/>
  <c r="E249"/>
  <c r="E241"/>
  <c r="E233"/>
  <c r="E225"/>
  <c r="E217"/>
  <c r="E209"/>
  <c r="E201"/>
  <c r="E193"/>
  <c r="E185"/>
  <c r="E177"/>
  <c r="E169"/>
  <c r="E161"/>
  <c r="E153"/>
  <c r="E145"/>
  <c r="E137"/>
  <c r="E129"/>
  <c r="E121"/>
  <c r="E113"/>
  <c r="E105"/>
  <c r="E97"/>
  <c r="E89"/>
  <c r="E81"/>
  <c r="E73"/>
  <c r="E65"/>
  <c r="E57"/>
  <c r="E49"/>
  <c r="E41"/>
  <c r="E33"/>
  <c r="E25"/>
  <c r="E17"/>
  <c r="E9"/>
  <c r="C39" i="8"/>
  <c r="A11" i="9"/>
  <c r="E25" i="8"/>
  <c r="E24"/>
  <c r="E23"/>
  <c r="E22"/>
  <c r="C43"/>
  <c r="C42"/>
  <c r="C41"/>
  <c r="C40"/>
  <c r="A20"/>
  <c r="A11"/>
  <c r="B26" i="9"/>
  <c r="C149"/>
  <c r="C148"/>
  <c r="C147"/>
  <c r="C146"/>
  <c r="C101"/>
  <c r="X100"/>
  <c r="W100"/>
  <c r="V100"/>
  <c r="U100"/>
  <c r="T100"/>
  <c r="S100"/>
  <c r="R100"/>
  <c r="Q100"/>
  <c r="P100"/>
  <c r="O100"/>
  <c r="N100"/>
  <c r="M100"/>
  <c r="L100"/>
  <c r="K100"/>
  <c r="J100"/>
  <c r="I100"/>
  <c r="H100"/>
  <c r="G100"/>
  <c r="F100"/>
  <c r="E100"/>
  <c r="X63"/>
  <c r="W63"/>
  <c r="V63"/>
  <c r="U63"/>
  <c r="T63"/>
  <c r="S63"/>
  <c r="R63"/>
  <c r="Q63"/>
  <c r="P63"/>
  <c r="O63"/>
  <c r="N63"/>
  <c r="M63"/>
  <c r="L63"/>
  <c r="K63"/>
  <c r="J63"/>
  <c r="I63"/>
  <c r="H63"/>
  <c r="G63"/>
  <c r="F63"/>
  <c r="E63"/>
  <c r="C47"/>
  <c r="I6" i="26"/>
  <c r="C46" i="9"/>
  <c r="I5" i="26"/>
  <c r="C45" i="9"/>
  <c r="I4" i="26"/>
  <c r="C44" i="9"/>
  <c r="I3" i="26"/>
  <c r="X42" i="9"/>
  <c r="W42"/>
  <c r="V42"/>
  <c r="U42"/>
  <c r="T42"/>
  <c r="S42"/>
  <c r="R42"/>
  <c r="Q42"/>
  <c r="P42"/>
  <c r="O42"/>
  <c r="N42"/>
  <c r="M42"/>
  <c r="L42"/>
  <c r="K42"/>
  <c r="J42"/>
  <c r="I42"/>
  <c r="H42"/>
  <c r="G42"/>
  <c r="F42"/>
  <c r="E42"/>
  <c r="C41"/>
  <c r="C36"/>
  <c r="C32"/>
  <c r="C25"/>
  <c r="C24"/>
  <c r="C34"/>
  <c r="C23"/>
  <c r="C33"/>
  <c r="C22"/>
  <c r="A21" s="1"/>
  <c r="C9"/>
  <c r="X119" i="8"/>
  <c r="W119"/>
  <c r="V119"/>
  <c r="U119"/>
  <c r="T119"/>
  <c r="S119"/>
  <c r="R119"/>
  <c r="Q119"/>
  <c r="P119"/>
  <c r="O119"/>
  <c r="N119"/>
  <c r="M119"/>
  <c r="L119"/>
  <c r="K119"/>
  <c r="J119"/>
  <c r="I119"/>
  <c r="H119"/>
  <c r="G119"/>
  <c r="F119"/>
  <c r="E119"/>
  <c r="X82"/>
  <c r="W82"/>
  <c r="V82"/>
  <c r="U82"/>
  <c r="T82"/>
  <c r="S82"/>
  <c r="R82"/>
  <c r="Q82"/>
  <c r="P82"/>
  <c r="O82"/>
  <c r="N82"/>
  <c r="M82"/>
  <c r="L82"/>
  <c r="K82"/>
  <c r="J82"/>
  <c r="I82"/>
  <c r="H82"/>
  <c r="G82"/>
  <c r="F82"/>
  <c r="E82"/>
  <c r="C64"/>
  <c r="C63"/>
  <c r="C62"/>
  <c r="C61"/>
  <c r="I17" i="26"/>
  <c r="X59" i="8"/>
  <c r="W59"/>
  <c r="V59"/>
  <c r="U59"/>
  <c r="T59"/>
  <c r="S59"/>
  <c r="R59"/>
  <c r="Q59"/>
  <c r="P59"/>
  <c r="O59"/>
  <c r="N59"/>
  <c r="M59"/>
  <c r="L59"/>
  <c r="K59"/>
  <c r="J59"/>
  <c r="I59"/>
  <c r="H59"/>
  <c r="G59"/>
  <c r="F59"/>
  <c r="E59"/>
  <c r="C58"/>
  <c r="C52"/>
  <c r="C51"/>
  <c r="C50"/>
  <c r="C49"/>
  <c r="C34"/>
  <c r="B34"/>
  <c r="C33"/>
  <c r="C32"/>
  <c r="C31"/>
  <c r="B31"/>
  <c r="C30"/>
  <c r="A29" s="1"/>
  <c r="C9"/>
  <c r="F2" i="12"/>
  <c r="B6" i="6"/>
  <c r="B7"/>
  <c r="B33" i="8"/>
  <c r="C74"/>
  <c r="I30" i="26"/>
  <c r="C72" i="8"/>
  <c r="I28" i="26"/>
  <c r="I19"/>
  <c r="C71" i="8"/>
  <c r="I27" i="26"/>
  <c r="C67" i="8"/>
  <c r="I23" i="26"/>
  <c r="I20"/>
  <c r="C68" i="8"/>
  <c r="I24" i="26"/>
  <c r="I18"/>
  <c r="C70" i="8"/>
  <c r="I26" i="26"/>
  <c r="C66" i="8"/>
  <c r="I22" i="26"/>
  <c r="C69" i="8"/>
  <c r="I25" i="26"/>
  <c r="C65" i="8"/>
  <c r="I21" i="26"/>
  <c r="C53" i="9"/>
  <c r="I12" i="26"/>
  <c r="C49" i="9"/>
  <c r="I8" i="26"/>
  <c r="C48" i="9"/>
  <c r="C52"/>
  <c r="I11" i="26"/>
  <c r="C51" i="9"/>
  <c r="I10" i="26"/>
  <c r="C55" i="9"/>
  <c r="B23"/>
  <c r="C50"/>
  <c r="I9" i="26"/>
  <c r="C54" i="9"/>
  <c r="I13" i="26"/>
  <c r="A31" i="9"/>
  <c r="B40" i="8"/>
  <c r="B41"/>
  <c r="B25" i="9"/>
  <c r="B32" i="8"/>
  <c r="C56" i="9"/>
  <c r="I15" i="26"/>
  <c r="I7"/>
  <c r="C57" i="9"/>
  <c r="I16" i="26"/>
  <c r="I14"/>
  <c r="B24" i="9"/>
  <c r="B44"/>
  <c r="H3" i="26" s="1"/>
  <c r="A44" i="9"/>
  <c r="G3" i="26" s="1"/>
  <c r="A45" i="9"/>
  <c r="G4" i="26" s="1"/>
  <c r="B45" i="9"/>
  <c r="H4" i="26" s="1"/>
  <c r="B47" i="9"/>
  <c r="H6" i="26" s="1"/>
  <c r="A47" i="9"/>
  <c r="G6" i="26" s="1"/>
  <c r="B46" i="9"/>
  <c r="H5" i="26" s="1"/>
  <c r="A46" i="9"/>
  <c r="G5" i="26" s="1"/>
  <c r="E24" i="15" l="1"/>
  <c r="E80" s="1"/>
  <c r="J24" i="29"/>
  <c r="J80" s="1"/>
  <c r="J91" s="1"/>
  <c r="D119" i="8"/>
  <c r="Q24" i="29"/>
  <c r="F81" s="1"/>
  <c r="Q91" s="1"/>
  <c r="C48" i="8"/>
  <c r="A47" s="1"/>
  <c r="A38"/>
  <c r="I33" i="30"/>
  <c r="I75" s="1"/>
  <c r="I97" s="1"/>
  <c r="K32" i="29"/>
  <c r="K70" s="1"/>
  <c r="K96" s="1"/>
  <c r="I32" i="30"/>
  <c r="I70" s="1"/>
  <c r="I96" s="1"/>
  <c r="V24" i="29"/>
  <c r="K81" s="1"/>
  <c r="V91" s="1"/>
  <c r="O24"/>
  <c r="D81" s="1"/>
  <c r="O91" s="1"/>
  <c r="S24"/>
  <c r="H81" s="1"/>
  <c r="S91" s="1"/>
  <c r="D24"/>
  <c r="D80" s="1"/>
  <c r="K24"/>
  <c r="K80" s="1"/>
  <c r="K82" s="1"/>
  <c r="K83" s="1"/>
  <c r="T24"/>
  <c r="I81" s="1"/>
  <c r="T91" s="1"/>
  <c r="G24"/>
  <c r="G80" s="1"/>
  <c r="G91" s="1"/>
  <c r="E32"/>
  <c r="E70" s="1"/>
  <c r="E96" s="1"/>
  <c r="G32"/>
  <c r="G70" s="1"/>
  <c r="G96" s="1"/>
  <c r="S33"/>
  <c r="H76" s="1"/>
  <c r="S97" s="1"/>
  <c r="E51" i="30"/>
  <c r="P92" s="1"/>
  <c r="P26"/>
  <c r="W33"/>
  <c r="L76" s="1"/>
  <c r="W97" s="1"/>
  <c r="L66"/>
  <c r="W95" s="1"/>
  <c r="Q28"/>
  <c r="F56"/>
  <c r="Q93" s="1"/>
  <c r="Q30"/>
  <c r="K56"/>
  <c r="V93" s="1"/>
  <c r="V30"/>
  <c r="V28"/>
  <c r="H56"/>
  <c r="S93" s="1"/>
  <c r="S28"/>
  <c r="S30"/>
  <c r="L56"/>
  <c r="W93" s="1"/>
  <c r="W28"/>
  <c r="T25"/>
  <c r="J41"/>
  <c r="U89" s="1"/>
  <c r="O25"/>
  <c r="E42"/>
  <c r="E43" s="1"/>
  <c r="Q23"/>
  <c r="F46" s="1"/>
  <c r="Q90" s="1"/>
  <c r="S23"/>
  <c r="H46" s="1"/>
  <c r="S90" s="1"/>
  <c r="R26"/>
  <c r="Z89"/>
  <c r="H51"/>
  <c r="S92" s="1"/>
  <c r="U25"/>
  <c r="D41"/>
  <c r="O89" s="1"/>
  <c r="K52"/>
  <c r="K53" s="1"/>
  <c r="I42"/>
  <c r="I43" s="1"/>
  <c r="F26"/>
  <c r="F50"/>
  <c r="H42"/>
  <c r="H43" s="1"/>
  <c r="H89"/>
  <c r="AD89" s="1"/>
  <c r="J26"/>
  <c r="J50"/>
  <c r="K89"/>
  <c r="AG89" s="1"/>
  <c r="K42"/>
  <c r="K43" s="1"/>
  <c r="K28"/>
  <c r="K32" s="1"/>
  <c r="K70" s="1"/>
  <c r="K30"/>
  <c r="K33" s="1"/>
  <c r="K75" s="1"/>
  <c r="K97" s="1"/>
  <c r="K92"/>
  <c r="AG92" s="1"/>
  <c r="G40"/>
  <c r="G23"/>
  <c r="G45" s="1"/>
  <c r="G47" s="1"/>
  <c r="G48" s="1"/>
  <c r="J23"/>
  <c r="J45" s="1"/>
  <c r="J90" s="1"/>
  <c r="AF90" s="1"/>
  <c r="H14" i="18" s="1"/>
  <c r="H13" i="19" s="1"/>
  <c r="H28" s="1"/>
  <c r="H15" i="3" s="1"/>
  <c r="F23" i="30"/>
  <c r="F45" s="1"/>
  <c r="I60"/>
  <c r="H23"/>
  <c r="H45" s="1"/>
  <c r="J40"/>
  <c r="F40"/>
  <c r="H25"/>
  <c r="I65"/>
  <c r="D92"/>
  <c r="H90"/>
  <c r="AD90" s="1"/>
  <c r="K90"/>
  <c r="AG90" s="1"/>
  <c r="H15" i="18" s="1"/>
  <c r="K47" i="30"/>
  <c r="K48" s="1"/>
  <c r="L90"/>
  <c r="AH90" s="1"/>
  <c r="H16" i="18" s="1"/>
  <c r="L47" i="30"/>
  <c r="L48" s="1"/>
  <c r="E50"/>
  <c r="E26"/>
  <c r="G26"/>
  <c r="G50"/>
  <c r="I90"/>
  <c r="AE90" s="1"/>
  <c r="I47"/>
  <c r="I48" s="1"/>
  <c r="G90"/>
  <c r="AC90" s="1"/>
  <c r="F90"/>
  <c r="I93"/>
  <c r="E89"/>
  <c r="AA89" s="1"/>
  <c r="I89"/>
  <c r="AE89" s="1"/>
  <c r="K55"/>
  <c r="L25"/>
  <c r="E23"/>
  <c r="E45" s="1"/>
  <c r="L40"/>
  <c r="D33"/>
  <c r="D75" s="1"/>
  <c r="D97" s="1"/>
  <c r="D65"/>
  <c r="D47"/>
  <c r="D48" s="1"/>
  <c r="D90"/>
  <c r="Z90" s="1"/>
  <c r="D28"/>
  <c r="D55"/>
  <c r="W90" i="29"/>
  <c r="AH90" s="1"/>
  <c r="H13" i="18" s="1"/>
  <c r="L47" i="29"/>
  <c r="L48" s="1"/>
  <c r="H61"/>
  <c r="S94" s="1"/>
  <c r="S32"/>
  <c r="H71" s="1"/>
  <c r="S96" s="1"/>
  <c r="V93"/>
  <c r="AG93" s="1"/>
  <c r="K57"/>
  <c r="K58" s="1"/>
  <c r="G42"/>
  <c r="G43" s="1"/>
  <c r="R89"/>
  <c r="AC89" s="1"/>
  <c r="T28"/>
  <c r="T30"/>
  <c r="I56"/>
  <c r="T93" s="1"/>
  <c r="E51"/>
  <c r="P26"/>
  <c r="AE90"/>
  <c r="U24"/>
  <c r="J81" s="1"/>
  <c r="U91" s="1"/>
  <c r="AG92"/>
  <c r="V89"/>
  <c r="AG89" s="1"/>
  <c r="U25"/>
  <c r="W28"/>
  <c r="V28"/>
  <c r="R25"/>
  <c r="F41"/>
  <c r="Q89" s="1"/>
  <c r="I57"/>
  <c r="I58" s="1"/>
  <c r="E42"/>
  <c r="E43" s="1"/>
  <c r="W30"/>
  <c r="V30"/>
  <c r="T89"/>
  <c r="Q25"/>
  <c r="Q23"/>
  <c r="F46" s="1"/>
  <c r="Q90" s="1"/>
  <c r="AF89"/>
  <c r="AH89"/>
  <c r="AE89"/>
  <c r="O32"/>
  <c r="D71" s="1"/>
  <c r="O96" s="1"/>
  <c r="O30"/>
  <c r="L92"/>
  <c r="AH92" s="1"/>
  <c r="L52"/>
  <c r="L53" s="1"/>
  <c r="J94"/>
  <c r="G93"/>
  <c r="I52"/>
  <c r="I53" s="1"/>
  <c r="I92"/>
  <c r="AE92" s="1"/>
  <c r="G90"/>
  <c r="AC90" s="1"/>
  <c r="G47"/>
  <c r="G48" s="1"/>
  <c r="J93"/>
  <c r="I95"/>
  <c r="E90"/>
  <c r="AA90" s="1"/>
  <c r="E47"/>
  <c r="E48" s="1"/>
  <c r="F90"/>
  <c r="AB90" s="1"/>
  <c r="F47"/>
  <c r="F48" s="1"/>
  <c r="H42"/>
  <c r="H43" s="1"/>
  <c r="H89"/>
  <c r="AD89" s="1"/>
  <c r="F89"/>
  <c r="F42"/>
  <c r="F43" s="1"/>
  <c r="K47"/>
  <c r="K48" s="1"/>
  <c r="K90"/>
  <c r="AG90" s="1"/>
  <c r="H12" i="18" s="1"/>
  <c r="K95" i="29"/>
  <c r="J90"/>
  <c r="AF90" s="1"/>
  <c r="H11" i="18" s="1"/>
  <c r="H10" i="19" s="1"/>
  <c r="H25" s="1"/>
  <c r="H12" i="3" s="1"/>
  <c r="J47" i="29"/>
  <c r="J48" s="1"/>
  <c r="E94"/>
  <c r="J42"/>
  <c r="J43" s="1"/>
  <c r="K33"/>
  <c r="K75" s="1"/>
  <c r="K97" s="1"/>
  <c r="I93"/>
  <c r="AE93" s="1"/>
  <c r="J32"/>
  <c r="J70" s="1"/>
  <c r="H23"/>
  <c r="H45" s="1"/>
  <c r="I33"/>
  <c r="I75" s="1"/>
  <c r="I97" s="1"/>
  <c r="G60"/>
  <c r="I47"/>
  <c r="I48" s="1"/>
  <c r="G30"/>
  <c r="J30"/>
  <c r="I28"/>
  <c r="L26"/>
  <c r="F25"/>
  <c r="H25"/>
  <c r="E89"/>
  <c r="AA89" s="1"/>
  <c r="D52"/>
  <c r="D53" s="1"/>
  <c r="D92"/>
  <c r="Z92" s="1"/>
  <c r="D47"/>
  <c r="D48" s="1"/>
  <c r="D90"/>
  <c r="Z90" s="1"/>
  <c r="D26"/>
  <c r="J56" i="15"/>
  <c r="U93" s="1"/>
  <c r="U28"/>
  <c r="J61" s="1"/>
  <c r="U94" s="1"/>
  <c r="U30"/>
  <c r="J66" s="1"/>
  <c r="U95" s="1"/>
  <c r="O28"/>
  <c r="D61" s="1"/>
  <c r="O94" s="1"/>
  <c r="D56"/>
  <c r="O93" s="1"/>
  <c r="O30"/>
  <c r="D66" s="1"/>
  <c r="O95" s="1"/>
  <c r="T26"/>
  <c r="I51"/>
  <c r="T92" s="1"/>
  <c r="L56"/>
  <c r="W93" s="1"/>
  <c r="W30"/>
  <c r="L66" s="1"/>
  <c r="W95" s="1"/>
  <c r="W28"/>
  <c r="L61" s="1"/>
  <c r="W94" s="1"/>
  <c r="Q92"/>
  <c r="F52"/>
  <c r="F53" s="1"/>
  <c r="G51"/>
  <c r="R92" s="1"/>
  <c r="R26"/>
  <c r="K42"/>
  <c r="K43" s="1"/>
  <c r="G42"/>
  <c r="G43" s="1"/>
  <c r="AA89"/>
  <c r="E56"/>
  <c r="P93" s="1"/>
  <c r="L51"/>
  <c r="W92" s="1"/>
  <c r="J51"/>
  <c r="U92" s="1"/>
  <c r="P23"/>
  <c r="E46" s="1"/>
  <c r="P90" s="1"/>
  <c r="G41"/>
  <c r="R89" s="1"/>
  <c r="AC89" s="1"/>
  <c r="O23"/>
  <c r="D46" s="1"/>
  <c r="O90" s="1"/>
  <c r="AB92"/>
  <c r="V30"/>
  <c r="K66" s="1"/>
  <c r="V95" s="1"/>
  <c r="I41"/>
  <c r="T89" s="1"/>
  <c r="T23"/>
  <c r="I46" s="1"/>
  <c r="T90" s="1"/>
  <c r="L95"/>
  <c r="AH95" s="1"/>
  <c r="L47"/>
  <c r="L48" s="1"/>
  <c r="L90"/>
  <c r="AH90" s="1"/>
  <c r="H10" i="18" s="1"/>
  <c r="H24" i="19" s="1"/>
  <c r="H11" i="3" s="1"/>
  <c r="L92" i="15"/>
  <c r="AH92" s="1"/>
  <c r="L94"/>
  <c r="AH94" s="1"/>
  <c r="L62"/>
  <c r="L63" s="1"/>
  <c r="L55"/>
  <c r="L40"/>
  <c r="H26"/>
  <c r="H50"/>
  <c r="G52"/>
  <c r="G53" s="1"/>
  <c r="G92"/>
  <c r="K47"/>
  <c r="K48" s="1"/>
  <c r="K90"/>
  <c r="AG90" s="1"/>
  <c r="H9" i="18" s="1"/>
  <c r="H8" i="19" s="1"/>
  <c r="J90" i="15"/>
  <c r="AF90" s="1"/>
  <c r="H8" i="18" s="1"/>
  <c r="H7" i="19" s="1"/>
  <c r="H21" s="1"/>
  <c r="H8" i="3" s="1"/>
  <c r="J47" i="15"/>
  <c r="J48" s="1"/>
  <c r="K50"/>
  <c r="K26"/>
  <c r="I26"/>
  <c r="I50"/>
  <c r="E47"/>
  <c r="E48" s="1"/>
  <c r="E90"/>
  <c r="AA90" s="1"/>
  <c r="G90"/>
  <c r="AC90" s="1"/>
  <c r="G47"/>
  <c r="G48" s="1"/>
  <c r="J50"/>
  <c r="J26"/>
  <c r="G95"/>
  <c r="I90"/>
  <c r="I47"/>
  <c r="I48" s="1"/>
  <c r="F30"/>
  <c r="F65" s="1"/>
  <c r="F28"/>
  <c r="F60" s="1"/>
  <c r="F55"/>
  <c r="F90"/>
  <c r="AB90" s="1"/>
  <c r="F47"/>
  <c r="F48" s="1"/>
  <c r="I40"/>
  <c r="G28"/>
  <c r="G60" s="1"/>
  <c r="E42"/>
  <c r="E43" s="1"/>
  <c r="E25"/>
  <c r="F40"/>
  <c r="I24"/>
  <c r="I80" s="1"/>
  <c r="I91" s="1"/>
  <c r="G55"/>
  <c r="H40"/>
  <c r="H23"/>
  <c r="H45" s="1"/>
  <c r="J40"/>
  <c r="D90"/>
  <c r="Z90" s="1"/>
  <c r="D40"/>
  <c r="D25"/>
  <c r="D91" i="29"/>
  <c r="K91"/>
  <c r="E91" i="15"/>
  <c r="I91" i="29"/>
  <c r="Q24" i="30"/>
  <c r="F81" s="1"/>
  <c r="Q91" s="1"/>
  <c r="E24"/>
  <c r="E80" s="1"/>
  <c r="W24"/>
  <c r="L81" s="1"/>
  <c r="W91" s="1"/>
  <c r="O24"/>
  <c r="D81" s="1"/>
  <c r="O91" s="1"/>
  <c r="U24"/>
  <c r="J81" s="1"/>
  <c r="U91" s="1"/>
  <c r="H24"/>
  <c r="H80" s="1"/>
  <c r="J24"/>
  <c r="J80" s="1"/>
  <c r="P24"/>
  <c r="E81" s="1"/>
  <c r="P91" s="1"/>
  <c r="L24"/>
  <c r="L80" s="1"/>
  <c r="D24"/>
  <c r="D80" s="1"/>
  <c r="R24"/>
  <c r="G81" s="1"/>
  <c r="R91" s="1"/>
  <c r="K24"/>
  <c r="K80" s="1"/>
  <c r="F24"/>
  <c r="F80" s="1"/>
  <c r="I24"/>
  <c r="I80" s="1"/>
  <c r="V24"/>
  <c r="K81" s="1"/>
  <c r="V91" s="1"/>
  <c r="G24"/>
  <c r="G80" s="1"/>
  <c r="S24"/>
  <c r="H81" s="1"/>
  <c r="S91" s="1"/>
  <c r="T24"/>
  <c r="I81" s="1"/>
  <c r="T91" s="1"/>
  <c r="T24" i="15"/>
  <c r="I81" s="1"/>
  <c r="T91" s="1"/>
  <c r="J24"/>
  <c r="J80" s="1"/>
  <c r="H24"/>
  <c r="H80" s="1"/>
  <c r="R24"/>
  <c r="G81" s="1"/>
  <c r="R91" s="1"/>
  <c r="P24"/>
  <c r="E81" s="1"/>
  <c r="P91" s="1"/>
  <c r="P24" i="29"/>
  <c r="E81" s="1"/>
  <c r="P91" s="1"/>
  <c r="S24" i="15"/>
  <c r="H81" s="1"/>
  <c r="S91" s="1"/>
  <c r="W24"/>
  <c r="L81" s="1"/>
  <c r="W91" s="1"/>
  <c r="L24"/>
  <c r="L80" s="1"/>
  <c r="Q24"/>
  <c r="F81" s="1"/>
  <c r="Q91" s="1"/>
  <c r="D24"/>
  <c r="D80" s="1"/>
  <c r="G24"/>
  <c r="G80" s="1"/>
  <c r="K24"/>
  <c r="K80" s="1"/>
  <c r="O24"/>
  <c r="D81" s="1"/>
  <c r="O91" s="1"/>
  <c r="F24"/>
  <c r="F80" s="1"/>
  <c r="R24" i="29"/>
  <c r="G81" s="1"/>
  <c r="R91" s="1"/>
  <c r="W24"/>
  <c r="L81" s="1"/>
  <c r="W91" s="1"/>
  <c r="E24"/>
  <c r="E80" s="1"/>
  <c r="F24"/>
  <c r="F80" s="1"/>
  <c r="L24"/>
  <c r="L80" s="1"/>
  <c r="H24"/>
  <c r="H80" s="1"/>
  <c r="V32" i="15"/>
  <c r="K71" s="1"/>
  <c r="V96" s="1"/>
  <c r="S33"/>
  <c r="H76" s="1"/>
  <c r="S97" s="1"/>
  <c r="F32"/>
  <c r="F70" s="1"/>
  <c r="F33"/>
  <c r="F75" s="1"/>
  <c r="U32"/>
  <c r="J71" s="1"/>
  <c r="U96" s="1"/>
  <c r="U33"/>
  <c r="J76" s="1"/>
  <c r="U97" s="1"/>
  <c r="P33"/>
  <c r="E76" s="1"/>
  <c r="P97" s="1"/>
  <c r="G33"/>
  <c r="G75" s="1"/>
  <c r="W32"/>
  <c r="L71" s="1"/>
  <c r="W96" s="1"/>
  <c r="S32"/>
  <c r="H71" s="1"/>
  <c r="S96" s="1"/>
  <c r="O32"/>
  <c r="D71" s="1"/>
  <c r="O96" s="1"/>
  <c r="W33"/>
  <c r="L76" s="1"/>
  <c r="W97" s="1"/>
  <c r="J96" i="29"/>
  <c r="L33" i="15"/>
  <c r="L75" s="1"/>
  <c r="Q33"/>
  <c r="F76" s="1"/>
  <c r="Q97" s="1"/>
  <c r="P32"/>
  <c r="E71" s="1"/>
  <c r="P96" s="1"/>
  <c r="V33"/>
  <c r="K76" s="1"/>
  <c r="V97" s="1"/>
  <c r="L32"/>
  <c r="L70" s="1"/>
  <c r="Q32"/>
  <c r="F71" s="1"/>
  <c r="Q96" s="1"/>
  <c r="Z91" i="29" l="1"/>
  <c r="J82"/>
  <c r="J83" s="1"/>
  <c r="I82"/>
  <c r="I83" s="1"/>
  <c r="AE91"/>
  <c r="D82"/>
  <c r="D83" s="1"/>
  <c r="V32" i="30"/>
  <c r="K71" s="1"/>
  <c r="V96" s="1"/>
  <c r="K61"/>
  <c r="V94" s="1"/>
  <c r="E56"/>
  <c r="P93" s="1"/>
  <c r="P28"/>
  <c r="P30"/>
  <c r="F66"/>
  <c r="Q95" s="1"/>
  <c r="Q33"/>
  <c r="F76" s="1"/>
  <c r="Q97" s="1"/>
  <c r="T26"/>
  <c r="I51"/>
  <c r="S33"/>
  <c r="H76" s="1"/>
  <c r="S97" s="1"/>
  <c r="H66"/>
  <c r="S95" s="1"/>
  <c r="K66"/>
  <c r="V95" s="1"/>
  <c r="V33"/>
  <c r="K76" s="1"/>
  <c r="V97" s="1"/>
  <c r="AG97" s="1"/>
  <c r="O15" i="18" s="1"/>
  <c r="Q32" i="30"/>
  <c r="F71" s="1"/>
  <c r="Q96" s="1"/>
  <c r="F61"/>
  <c r="Q94" s="1"/>
  <c r="AB90"/>
  <c r="H47"/>
  <c r="H48" s="1"/>
  <c r="U26"/>
  <c r="J51"/>
  <c r="U92" s="1"/>
  <c r="R28"/>
  <c r="G56"/>
  <c r="R93" s="1"/>
  <c r="R30"/>
  <c r="D51"/>
  <c r="O26"/>
  <c r="L61"/>
  <c r="W94" s="1"/>
  <c r="W32"/>
  <c r="L71" s="1"/>
  <c r="W96" s="1"/>
  <c r="H61"/>
  <c r="S94" s="1"/>
  <c r="S32"/>
  <c r="H71" s="1"/>
  <c r="S96" s="1"/>
  <c r="F47"/>
  <c r="F48" s="1"/>
  <c r="D42"/>
  <c r="D43" s="1"/>
  <c r="K96"/>
  <c r="F42"/>
  <c r="F43" s="1"/>
  <c r="F89"/>
  <c r="AB89" s="1"/>
  <c r="I94"/>
  <c r="J55"/>
  <c r="J28"/>
  <c r="J30"/>
  <c r="F28"/>
  <c r="F30"/>
  <c r="F55"/>
  <c r="H50"/>
  <c r="H26"/>
  <c r="J92"/>
  <c r="F52"/>
  <c r="F53" s="1"/>
  <c r="F92"/>
  <c r="AB92" s="1"/>
  <c r="I95"/>
  <c r="J89"/>
  <c r="AF89" s="1"/>
  <c r="J42"/>
  <c r="J43" s="1"/>
  <c r="G89"/>
  <c r="AC89" s="1"/>
  <c r="G42"/>
  <c r="G43" s="1"/>
  <c r="H14" i="19"/>
  <c r="H29" s="1"/>
  <c r="H16" i="3" s="1"/>
  <c r="K65" i="30"/>
  <c r="K95" s="1"/>
  <c r="AG95" s="1"/>
  <c r="K60"/>
  <c r="J47"/>
  <c r="J48" s="1"/>
  <c r="L42"/>
  <c r="L43" s="1"/>
  <c r="L89"/>
  <c r="AH89" s="1"/>
  <c r="E28"/>
  <c r="E55"/>
  <c r="E30"/>
  <c r="K93"/>
  <c r="AG93" s="1"/>
  <c r="K57"/>
  <c r="K58" s="1"/>
  <c r="L50"/>
  <c r="L26"/>
  <c r="K67"/>
  <c r="K68" s="1"/>
  <c r="K94"/>
  <c r="G55"/>
  <c r="G30"/>
  <c r="G28"/>
  <c r="H31" i="19"/>
  <c r="H18" i="3" s="1"/>
  <c r="E92" i="30"/>
  <c r="AA92" s="1"/>
  <c r="E52"/>
  <c r="E53" s="1"/>
  <c r="E90"/>
  <c r="AA90" s="1"/>
  <c r="E47"/>
  <c r="E48" s="1"/>
  <c r="G92"/>
  <c r="AC92" s="1"/>
  <c r="G52"/>
  <c r="G53" s="1"/>
  <c r="D32"/>
  <c r="D70" s="1"/>
  <c r="D60"/>
  <c r="D95"/>
  <c r="D93"/>
  <c r="T33" i="29"/>
  <c r="I76" s="1"/>
  <c r="I66"/>
  <c r="Q26"/>
  <c r="F51"/>
  <c r="Q92" s="1"/>
  <c r="V33"/>
  <c r="K76" s="1"/>
  <c r="K66"/>
  <c r="K61"/>
  <c r="V32"/>
  <c r="K71" s="1"/>
  <c r="P28"/>
  <c r="E56"/>
  <c r="P30"/>
  <c r="T32"/>
  <c r="I71" s="1"/>
  <c r="T96" s="1"/>
  <c r="I61"/>
  <c r="T94" s="1"/>
  <c r="U26"/>
  <c r="J51"/>
  <c r="W33"/>
  <c r="L76" s="1"/>
  <c r="W97" s="1"/>
  <c r="L66"/>
  <c r="W95" s="1"/>
  <c r="G51"/>
  <c r="R26"/>
  <c r="W32"/>
  <c r="L71" s="1"/>
  <c r="W96" s="1"/>
  <c r="L61"/>
  <c r="W94" s="1"/>
  <c r="P92"/>
  <c r="AA92" s="1"/>
  <c r="E52"/>
  <c r="E53" s="1"/>
  <c r="AB89"/>
  <c r="D66"/>
  <c r="O95" s="1"/>
  <c r="O33"/>
  <c r="D76" s="1"/>
  <c r="O97" s="1"/>
  <c r="G94"/>
  <c r="H50"/>
  <c r="H26"/>
  <c r="J33"/>
  <c r="J75" s="1"/>
  <c r="J65"/>
  <c r="I32"/>
  <c r="I70" s="1"/>
  <c r="I60"/>
  <c r="L55"/>
  <c r="L30"/>
  <c r="L28"/>
  <c r="F50"/>
  <c r="F26"/>
  <c r="G33"/>
  <c r="G75" s="1"/>
  <c r="G65"/>
  <c r="H90"/>
  <c r="AD90" s="1"/>
  <c r="H47"/>
  <c r="H48" s="1"/>
  <c r="H11" i="19"/>
  <c r="D30" i="29"/>
  <c r="D55"/>
  <c r="D28"/>
  <c r="R30" i="15"/>
  <c r="R28"/>
  <c r="G56"/>
  <c r="R93" s="1"/>
  <c r="T30"/>
  <c r="I56"/>
  <c r="T93" s="1"/>
  <c r="T28"/>
  <c r="D47"/>
  <c r="D48" s="1"/>
  <c r="AC92"/>
  <c r="L52"/>
  <c r="L53" s="1"/>
  <c r="L67"/>
  <c r="L68" s="1"/>
  <c r="O33"/>
  <c r="D76" s="1"/>
  <c r="O97" s="1"/>
  <c r="AE90"/>
  <c r="L57"/>
  <c r="L58" s="1"/>
  <c r="L93"/>
  <c r="AH93" s="1"/>
  <c r="L89"/>
  <c r="AH89" s="1"/>
  <c r="L42"/>
  <c r="L43" s="1"/>
  <c r="J42"/>
  <c r="J43" s="1"/>
  <c r="J89"/>
  <c r="AF89" s="1"/>
  <c r="G94"/>
  <c r="F93"/>
  <c r="AB93" s="1"/>
  <c r="F57"/>
  <c r="F58" s="1"/>
  <c r="J92"/>
  <c r="AF92" s="1"/>
  <c r="J52"/>
  <c r="J53" s="1"/>
  <c r="K52"/>
  <c r="K53" s="1"/>
  <c r="K92"/>
  <c r="AG92" s="1"/>
  <c r="H30"/>
  <c r="H28"/>
  <c r="H55"/>
  <c r="G57"/>
  <c r="G58" s="1"/>
  <c r="G93"/>
  <c r="AC93" s="1"/>
  <c r="J28"/>
  <c r="J55"/>
  <c r="J30"/>
  <c r="K28"/>
  <c r="K30"/>
  <c r="K55"/>
  <c r="H22" i="19"/>
  <c r="H9" i="3" s="1"/>
  <c r="H9" i="19"/>
  <c r="H23" s="1"/>
  <c r="H10" i="3" s="1"/>
  <c r="H52" i="15"/>
  <c r="H53" s="1"/>
  <c r="H92"/>
  <c r="AD92" s="1"/>
  <c r="H42"/>
  <c r="H43" s="1"/>
  <c r="H89"/>
  <c r="AD89" s="1"/>
  <c r="E50"/>
  <c r="E26"/>
  <c r="F67"/>
  <c r="F68" s="1"/>
  <c r="F95"/>
  <c r="AB95" s="1"/>
  <c r="I28"/>
  <c r="I30"/>
  <c r="I55"/>
  <c r="G32"/>
  <c r="G70" s="1"/>
  <c r="G96" s="1"/>
  <c r="H47"/>
  <c r="H48" s="1"/>
  <c r="H90"/>
  <c r="AD90" s="1"/>
  <c r="F89"/>
  <c r="AB89" s="1"/>
  <c r="F42"/>
  <c r="F43" s="1"/>
  <c r="I42"/>
  <c r="I43" s="1"/>
  <c r="I89"/>
  <c r="AE89" s="1"/>
  <c r="F62"/>
  <c r="F63" s="1"/>
  <c r="F94"/>
  <c r="AB94" s="1"/>
  <c r="I52"/>
  <c r="I53" s="1"/>
  <c r="I92"/>
  <c r="AE92" s="1"/>
  <c r="D42"/>
  <c r="D43" s="1"/>
  <c r="D89"/>
  <c r="Z89" s="1"/>
  <c r="D26"/>
  <c r="D50"/>
  <c r="L82"/>
  <c r="L83" s="1"/>
  <c r="L91"/>
  <c r="J82" i="30"/>
  <c r="J83" s="1"/>
  <c r="J91"/>
  <c r="AF91" i="29"/>
  <c r="D107"/>
  <c r="E82"/>
  <c r="E83" s="1"/>
  <c r="E91"/>
  <c r="AA91" s="1"/>
  <c r="J91" i="15"/>
  <c r="J82"/>
  <c r="J83" s="1"/>
  <c r="G82" i="30"/>
  <c r="G83" s="1"/>
  <c r="G91"/>
  <c r="AC91" s="1"/>
  <c r="K82"/>
  <c r="K83" s="1"/>
  <c r="K91"/>
  <c r="F82" i="29"/>
  <c r="F83" s="1"/>
  <c r="F91"/>
  <c r="AB91" s="1"/>
  <c r="F82" i="15"/>
  <c r="F83" s="1"/>
  <c r="F91"/>
  <c r="AB91" s="1"/>
  <c r="D91"/>
  <c r="Z91" s="1"/>
  <c r="D82"/>
  <c r="D83" s="1"/>
  <c r="H82"/>
  <c r="H83" s="1"/>
  <c r="H91"/>
  <c r="AD91" s="1"/>
  <c r="F91" i="30"/>
  <c r="AB91" s="1"/>
  <c r="F82"/>
  <c r="F83" s="1"/>
  <c r="L82"/>
  <c r="L83" s="1"/>
  <c r="L91"/>
  <c r="AE91" i="15"/>
  <c r="G82" i="29"/>
  <c r="G83" s="1"/>
  <c r="AA91" i="15"/>
  <c r="H91" i="29"/>
  <c r="AD91" s="1"/>
  <c r="H82"/>
  <c r="H83" s="1"/>
  <c r="K82" i="15"/>
  <c r="K83" s="1"/>
  <c r="K91"/>
  <c r="L82" i="29"/>
  <c r="L83" s="1"/>
  <c r="L91"/>
  <c r="G82" i="15"/>
  <c r="G83" s="1"/>
  <c r="G91"/>
  <c r="AC91" s="1"/>
  <c r="I82" i="30"/>
  <c r="I83" s="1"/>
  <c r="I91"/>
  <c r="AE91" s="1"/>
  <c r="D91"/>
  <c r="Z91" s="1"/>
  <c r="D82"/>
  <c r="D83" s="1"/>
  <c r="H82"/>
  <c r="H83" s="1"/>
  <c r="H91"/>
  <c r="AD91" s="1"/>
  <c r="E91"/>
  <c r="AA91" s="1"/>
  <c r="E82"/>
  <c r="E83" s="1"/>
  <c r="AG91" i="29"/>
  <c r="E107"/>
  <c r="I82" i="15"/>
  <c r="I83" s="1"/>
  <c r="AC91" i="29"/>
  <c r="E82" i="15"/>
  <c r="E83" s="1"/>
  <c r="F96"/>
  <c r="AB96" s="1"/>
  <c r="F72"/>
  <c r="F73" s="1"/>
  <c r="L77"/>
  <c r="L78" s="1"/>
  <c r="L97"/>
  <c r="AH97" s="1"/>
  <c r="O10" i="18" s="1"/>
  <c r="G97" i="15"/>
  <c r="F77"/>
  <c r="F78" s="1"/>
  <c r="F97"/>
  <c r="AB97" s="1"/>
  <c r="L72"/>
  <c r="L73" s="1"/>
  <c r="L96"/>
  <c r="AH96" s="1"/>
  <c r="C10" i="18" s="1"/>
  <c r="C24" i="19" s="1"/>
  <c r="AG96" i="30" l="1"/>
  <c r="C15" i="18" s="1"/>
  <c r="G61" i="30"/>
  <c r="R94" s="1"/>
  <c r="R32"/>
  <c r="G71" s="1"/>
  <c r="R96" s="1"/>
  <c r="K62"/>
  <c r="K63" s="1"/>
  <c r="J52"/>
  <c r="J53" s="1"/>
  <c r="O92"/>
  <c r="Z92" s="1"/>
  <c r="D52"/>
  <c r="D53" s="1"/>
  <c r="I52"/>
  <c r="I53" s="1"/>
  <c r="T92"/>
  <c r="AE92" s="1"/>
  <c r="P33"/>
  <c r="E76" s="1"/>
  <c r="P97" s="1"/>
  <c r="E66"/>
  <c r="P95" s="1"/>
  <c r="D56"/>
  <c r="O28"/>
  <c r="O30"/>
  <c r="G66"/>
  <c r="R95" s="1"/>
  <c r="R33"/>
  <c r="G76" s="1"/>
  <c r="R97" s="1"/>
  <c r="U30"/>
  <c r="U28"/>
  <c r="J56"/>
  <c r="U93" s="1"/>
  <c r="T28"/>
  <c r="I56"/>
  <c r="T30"/>
  <c r="P32"/>
  <c r="E71" s="1"/>
  <c r="P96" s="1"/>
  <c r="E61"/>
  <c r="P94" s="1"/>
  <c r="AF92"/>
  <c r="AG94"/>
  <c r="K77"/>
  <c r="K78" s="1"/>
  <c r="K72"/>
  <c r="K73" s="1"/>
  <c r="H52"/>
  <c r="H53" s="1"/>
  <c r="H92"/>
  <c r="AD92" s="1"/>
  <c r="J33"/>
  <c r="J75" s="1"/>
  <c r="J65"/>
  <c r="H28"/>
  <c r="H30"/>
  <c r="H55"/>
  <c r="F60"/>
  <c r="F32"/>
  <c r="F70" s="1"/>
  <c r="F65"/>
  <c r="F33"/>
  <c r="F75" s="1"/>
  <c r="J93"/>
  <c r="AF93" s="1"/>
  <c r="J57"/>
  <c r="J58" s="1"/>
  <c r="F57"/>
  <c r="F58" s="1"/>
  <c r="F93"/>
  <c r="AB93" s="1"/>
  <c r="J60"/>
  <c r="J32"/>
  <c r="J70" s="1"/>
  <c r="H15" i="19"/>
  <c r="H30" s="1"/>
  <c r="H17" i="3" s="1"/>
  <c r="G93" i="30"/>
  <c r="AC93" s="1"/>
  <c r="G57"/>
  <c r="G58" s="1"/>
  <c r="G65"/>
  <c r="G33"/>
  <c r="G75" s="1"/>
  <c r="E60"/>
  <c r="E32"/>
  <c r="E70" s="1"/>
  <c r="L55"/>
  <c r="L28"/>
  <c r="L30"/>
  <c r="E33"/>
  <c r="E75" s="1"/>
  <c r="E65"/>
  <c r="G60"/>
  <c r="G32"/>
  <c r="G70" s="1"/>
  <c r="L92"/>
  <c r="AH92" s="1"/>
  <c r="L52"/>
  <c r="L53" s="1"/>
  <c r="E57"/>
  <c r="E58" s="1"/>
  <c r="E93"/>
  <c r="AA93" s="1"/>
  <c r="D96"/>
  <c r="D94"/>
  <c r="P32" i="29"/>
  <c r="E71" s="1"/>
  <c r="E61"/>
  <c r="R92"/>
  <c r="AC92" s="1"/>
  <c r="G52"/>
  <c r="G53" s="1"/>
  <c r="U30"/>
  <c r="U28"/>
  <c r="J56"/>
  <c r="E57"/>
  <c r="E58" s="1"/>
  <c r="P93"/>
  <c r="AA93" s="1"/>
  <c r="V95"/>
  <c r="AG95" s="1"/>
  <c r="K67"/>
  <c r="K68" s="1"/>
  <c r="F56"/>
  <c r="Q93" s="1"/>
  <c r="Q30"/>
  <c r="Q28"/>
  <c r="V96"/>
  <c r="AG96" s="1"/>
  <c r="C12" i="18" s="1"/>
  <c r="K72" i="29"/>
  <c r="K73" s="1"/>
  <c r="T97"/>
  <c r="AE97" s="1"/>
  <c r="I77"/>
  <c r="I78" s="1"/>
  <c r="V97"/>
  <c r="AG97" s="1"/>
  <c r="O12" i="18" s="1"/>
  <c r="K77" i="29"/>
  <c r="K78" s="1"/>
  <c r="T95"/>
  <c r="AE95" s="1"/>
  <c r="I67"/>
  <c r="I68" s="1"/>
  <c r="G56"/>
  <c r="R30"/>
  <c r="R28"/>
  <c r="U92"/>
  <c r="AF92" s="1"/>
  <c r="J52"/>
  <c r="J53" s="1"/>
  <c r="E66"/>
  <c r="P33"/>
  <c r="E76" s="1"/>
  <c r="K62"/>
  <c r="K63" s="1"/>
  <c r="V94"/>
  <c r="AG94" s="1"/>
  <c r="J95"/>
  <c r="H26" i="19"/>
  <c r="H13" i="3" s="1"/>
  <c r="H12" i="19"/>
  <c r="H27" s="1"/>
  <c r="H14" i="3" s="1"/>
  <c r="G95" i="29"/>
  <c r="L32"/>
  <c r="L70" s="1"/>
  <c r="L60"/>
  <c r="I96"/>
  <c r="AE96" s="1"/>
  <c r="I72"/>
  <c r="I73" s="1"/>
  <c r="J97"/>
  <c r="F52"/>
  <c r="F53" s="1"/>
  <c r="F92"/>
  <c r="AB92" s="1"/>
  <c r="I62"/>
  <c r="I63" s="1"/>
  <c r="I94"/>
  <c r="AE94" s="1"/>
  <c r="F28"/>
  <c r="F55"/>
  <c r="F30"/>
  <c r="L93"/>
  <c r="AH93" s="1"/>
  <c r="L57"/>
  <c r="L58" s="1"/>
  <c r="H52"/>
  <c r="H53" s="1"/>
  <c r="H92"/>
  <c r="AD92" s="1"/>
  <c r="G97"/>
  <c r="L33"/>
  <c r="L75" s="1"/>
  <c r="L65"/>
  <c r="H30"/>
  <c r="H55"/>
  <c r="H28"/>
  <c r="D33"/>
  <c r="D75" s="1"/>
  <c r="D65"/>
  <c r="D93"/>
  <c r="Z93" s="1"/>
  <c r="D57"/>
  <c r="D58" s="1"/>
  <c r="D32"/>
  <c r="D70" s="1"/>
  <c r="D60"/>
  <c r="I61" i="15"/>
  <c r="T94" s="1"/>
  <c r="T32"/>
  <c r="I71" s="1"/>
  <c r="T96" s="1"/>
  <c r="G61"/>
  <c r="R32"/>
  <c r="G71" s="1"/>
  <c r="G66"/>
  <c r="R33"/>
  <c r="G76" s="1"/>
  <c r="I66"/>
  <c r="T95" s="1"/>
  <c r="T33"/>
  <c r="I76" s="1"/>
  <c r="T97" s="1"/>
  <c r="I65"/>
  <c r="I33"/>
  <c r="I75" s="1"/>
  <c r="K93"/>
  <c r="AG93" s="1"/>
  <c r="K57"/>
  <c r="K58" s="1"/>
  <c r="J93"/>
  <c r="AF93" s="1"/>
  <c r="J57"/>
  <c r="J58" s="1"/>
  <c r="J65"/>
  <c r="J33"/>
  <c r="J75" s="1"/>
  <c r="K60"/>
  <c r="K32"/>
  <c r="K70" s="1"/>
  <c r="H65"/>
  <c r="H33"/>
  <c r="H75" s="1"/>
  <c r="E28"/>
  <c r="E30"/>
  <c r="E55"/>
  <c r="H57"/>
  <c r="H58" s="1"/>
  <c r="H93"/>
  <c r="AD93" s="1"/>
  <c r="I93"/>
  <c r="AE93" s="1"/>
  <c r="I57"/>
  <c r="I58" s="1"/>
  <c r="I60"/>
  <c r="I32"/>
  <c r="I70" s="1"/>
  <c r="E52"/>
  <c r="E53" s="1"/>
  <c r="E92"/>
  <c r="AA92" s="1"/>
  <c r="K65"/>
  <c r="K33"/>
  <c r="K75" s="1"/>
  <c r="J60"/>
  <c r="J32"/>
  <c r="J70" s="1"/>
  <c r="H60"/>
  <c r="H32"/>
  <c r="H70" s="1"/>
  <c r="D30"/>
  <c r="D28"/>
  <c r="D55"/>
  <c r="D52"/>
  <c r="D53" s="1"/>
  <c r="D92"/>
  <c r="Z92" s="1"/>
  <c r="E107"/>
  <c r="AG91"/>
  <c r="AF91"/>
  <c r="D107"/>
  <c r="F107" i="30"/>
  <c r="AH91"/>
  <c r="E107"/>
  <c r="AG91"/>
  <c r="AH91" i="15"/>
  <c r="F107"/>
  <c r="F107" i="29"/>
  <c r="AH91"/>
  <c r="D107" i="30"/>
  <c r="AF91"/>
  <c r="C11" i="3"/>
  <c r="O93" i="30" l="1"/>
  <c r="Z93" s="1"/>
  <c r="D57"/>
  <c r="D58" s="1"/>
  <c r="T93"/>
  <c r="AE93" s="1"/>
  <c r="I57"/>
  <c r="I58" s="1"/>
  <c r="O32"/>
  <c r="D71" s="1"/>
  <c r="D61"/>
  <c r="I66"/>
  <c r="T33"/>
  <c r="I76" s="1"/>
  <c r="J61"/>
  <c r="U94" s="1"/>
  <c r="U32"/>
  <c r="J71" s="1"/>
  <c r="U96" s="1"/>
  <c r="O33"/>
  <c r="D76" s="1"/>
  <c r="D66"/>
  <c r="I61"/>
  <c r="T32"/>
  <c r="I71" s="1"/>
  <c r="U33"/>
  <c r="J76" s="1"/>
  <c r="U97" s="1"/>
  <c r="J66"/>
  <c r="U95" s="1"/>
  <c r="H32"/>
  <c r="H70" s="1"/>
  <c r="H60"/>
  <c r="F95"/>
  <c r="AB95" s="1"/>
  <c r="F67"/>
  <c r="F68" s="1"/>
  <c r="F97"/>
  <c r="AB97" s="1"/>
  <c r="F77"/>
  <c r="F78" s="1"/>
  <c r="H57"/>
  <c r="H58" s="1"/>
  <c r="H93"/>
  <c r="AD93" s="1"/>
  <c r="J97"/>
  <c r="J96"/>
  <c r="AF96" s="1"/>
  <c r="C14" i="18" s="1"/>
  <c r="C13" i="19" s="1"/>
  <c r="F72" i="30"/>
  <c r="F73" s="1"/>
  <c r="F96"/>
  <c r="AB96" s="1"/>
  <c r="H65"/>
  <c r="H33"/>
  <c r="H75" s="1"/>
  <c r="J94"/>
  <c r="F62"/>
  <c r="F63" s="1"/>
  <c r="F94"/>
  <c r="AB94" s="1"/>
  <c r="J95"/>
  <c r="G72"/>
  <c r="G73" s="1"/>
  <c r="G96"/>
  <c r="AC96" s="1"/>
  <c r="L65"/>
  <c r="L33"/>
  <c r="L75" s="1"/>
  <c r="E62"/>
  <c r="E63" s="1"/>
  <c r="E94"/>
  <c r="AA94" s="1"/>
  <c r="E77"/>
  <c r="E78" s="1"/>
  <c r="E97"/>
  <c r="AA97" s="1"/>
  <c r="E95"/>
  <c r="AA95" s="1"/>
  <c r="E67"/>
  <c r="E68" s="1"/>
  <c r="L93"/>
  <c r="AH93" s="1"/>
  <c r="L57"/>
  <c r="L58" s="1"/>
  <c r="G67"/>
  <c r="G68" s="1"/>
  <c r="G95"/>
  <c r="AC95" s="1"/>
  <c r="E96"/>
  <c r="AA96" s="1"/>
  <c r="E72"/>
  <c r="E73" s="1"/>
  <c r="G62"/>
  <c r="G63" s="1"/>
  <c r="G94"/>
  <c r="AC94" s="1"/>
  <c r="L60"/>
  <c r="L32"/>
  <c r="L70" s="1"/>
  <c r="G97"/>
  <c r="AC97" s="1"/>
  <c r="G77"/>
  <c r="G78" s="1"/>
  <c r="P95" i="29"/>
  <c r="AA95" s="1"/>
  <c r="E67"/>
  <c r="E68" s="1"/>
  <c r="R33"/>
  <c r="G76" s="1"/>
  <c r="G66"/>
  <c r="Q33"/>
  <c r="F76" s="1"/>
  <c r="Q97" s="1"/>
  <c r="F66"/>
  <c r="Q95" s="1"/>
  <c r="J66"/>
  <c r="U33"/>
  <c r="J76" s="1"/>
  <c r="P96"/>
  <c r="AA96" s="1"/>
  <c r="E72"/>
  <c r="E73" s="1"/>
  <c r="P97"/>
  <c r="AA97" s="1"/>
  <c r="E77"/>
  <c r="E78" s="1"/>
  <c r="R32"/>
  <c r="G71" s="1"/>
  <c r="G61"/>
  <c r="Q32"/>
  <c r="F71" s="1"/>
  <c r="Q96" s="1"/>
  <c r="F61"/>
  <c r="Q94" s="1"/>
  <c r="J61"/>
  <c r="U32"/>
  <c r="J71" s="1"/>
  <c r="P94"/>
  <c r="AA94" s="1"/>
  <c r="E62"/>
  <c r="E63" s="1"/>
  <c r="U93"/>
  <c r="AF93" s="1"/>
  <c r="J57"/>
  <c r="J58" s="1"/>
  <c r="R93"/>
  <c r="AC93" s="1"/>
  <c r="G57"/>
  <c r="G58" s="1"/>
  <c r="H93"/>
  <c r="AD93" s="1"/>
  <c r="H57"/>
  <c r="H58" s="1"/>
  <c r="H32"/>
  <c r="H70" s="1"/>
  <c r="H60"/>
  <c r="L67"/>
  <c r="L68" s="1"/>
  <c r="L95"/>
  <c r="AH95" s="1"/>
  <c r="F65"/>
  <c r="F33"/>
  <c r="F75" s="1"/>
  <c r="L96"/>
  <c r="AH96" s="1"/>
  <c r="C13" i="18" s="1"/>
  <c r="L72" i="29"/>
  <c r="L73" s="1"/>
  <c r="F32"/>
  <c r="F70" s="1"/>
  <c r="F60"/>
  <c r="L77"/>
  <c r="L78" s="1"/>
  <c r="L97"/>
  <c r="AH97" s="1"/>
  <c r="O13" i="18" s="1"/>
  <c r="F57" i="29"/>
  <c r="F58" s="1"/>
  <c r="F93"/>
  <c r="AB93" s="1"/>
  <c r="H65"/>
  <c r="H33"/>
  <c r="H75" s="1"/>
  <c r="L62"/>
  <c r="L63" s="1"/>
  <c r="L94"/>
  <c r="AH94" s="1"/>
  <c r="D72"/>
  <c r="D73" s="1"/>
  <c r="D96"/>
  <c r="Z96" s="1"/>
  <c r="D97"/>
  <c r="Z97" s="1"/>
  <c r="D77"/>
  <c r="D78" s="1"/>
  <c r="D62"/>
  <c r="D63" s="1"/>
  <c r="D94"/>
  <c r="Z94" s="1"/>
  <c r="D95"/>
  <c r="Z95" s="1"/>
  <c r="D67"/>
  <c r="D68" s="1"/>
  <c r="R97" i="15"/>
  <c r="AC97" s="1"/>
  <c r="G77"/>
  <c r="G78" s="1"/>
  <c r="R94"/>
  <c r="AC94" s="1"/>
  <c r="G62"/>
  <c r="G63" s="1"/>
  <c r="R95"/>
  <c r="AC95" s="1"/>
  <c r="G67"/>
  <c r="G68" s="1"/>
  <c r="R96"/>
  <c r="AC96" s="1"/>
  <c r="G72"/>
  <c r="G73" s="1"/>
  <c r="K97"/>
  <c r="AG97" s="1"/>
  <c r="O9" i="18" s="1"/>
  <c r="K77" i="15"/>
  <c r="K78" s="1"/>
  <c r="K94"/>
  <c r="AG94" s="1"/>
  <c r="K62"/>
  <c r="K63" s="1"/>
  <c r="I67"/>
  <c r="I68" s="1"/>
  <c r="I95"/>
  <c r="AE95" s="1"/>
  <c r="I97"/>
  <c r="AE97" s="1"/>
  <c r="I77"/>
  <c r="I78" s="1"/>
  <c r="J96"/>
  <c r="AF96" s="1"/>
  <c r="C8" i="18" s="1"/>
  <c r="C7" i="19" s="1"/>
  <c r="C21" s="1"/>
  <c r="C8" i="3" s="1"/>
  <c r="J72" i="15"/>
  <c r="J73" s="1"/>
  <c r="E93"/>
  <c r="AA93" s="1"/>
  <c r="E57"/>
  <c r="E58" s="1"/>
  <c r="H67"/>
  <c r="H68" s="1"/>
  <c r="H95"/>
  <c r="AD95" s="1"/>
  <c r="J95"/>
  <c r="AF95" s="1"/>
  <c r="J67"/>
  <c r="J68" s="1"/>
  <c r="H72"/>
  <c r="H73" s="1"/>
  <c r="H96"/>
  <c r="AD96" s="1"/>
  <c r="I96"/>
  <c r="AE96" s="1"/>
  <c r="I72"/>
  <c r="I73" s="1"/>
  <c r="E60"/>
  <c r="E32"/>
  <c r="E70" s="1"/>
  <c r="J94"/>
  <c r="AF94" s="1"/>
  <c r="J62"/>
  <c r="J63" s="1"/>
  <c r="E65"/>
  <c r="E33"/>
  <c r="E75" s="1"/>
  <c r="K96"/>
  <c r="AG96" s="1"/>
  <c r="C9" i="18" s="1"/>
  <c r="K72" i="15"/>
  <c r="K73" s="1"/>
  <c r="H94"/>
  <c r="AD94" s="1"/>
  <c r="H62"/>
  <c r="H63" s="1"/>
  <c r="K95"/>
  <c r="AG95" s="1"/>
  <c r="K67"/>
  <c r="K68" s="1"/>
  <c r="I62"/>
  <c r="I63" s="1"/>
  <c r="I94"/>
  <c r="AE94" s="1"/>
  <c r="H97"/>
  <c r="AD97" s="1"/>
  <c r="H77"/>
  <c r="H78" s="1"/>
  <c r="J97"/>
  <c r="AF97" s="1"/>
  <c r="O8" i="18" s="1"/>
  <c r="O7" i="19" s="1"/>
  <c r="O21" s="1"/>
  <c r="O8" i="3" s="1"/>
  <c r="J77" i="15"/>
  <c r="J78" s="1"/>
  <c r="D60"/>
  <c r="D32"/>
  <c r="D70" s="1"/>
  <c r="D57"/>
  <c r="D58" s="1"/>
  <c r="D93"/>
  <c r="Z93" s="1"/>
  <c r="D65"/>
  <c r="D33"/>
  <c r="D75" s="1"/>
  <c r="J72" i="30" l="1"/>
  <c r="J73" s="1"/>
  <c r="T94"/>
  <c r="AE94" s="1"/>
  <c r="I62"/>
  <c r="I63" s="1"/>
  <c r="O97"/>
  <c r="Z97" s="1"/>
  <c r="D77"/>
  <c r="D78" s="1"/>
  <c r="T95"/>
  <c r="AE95" s="1"/>
  <c r="I67"/>
  <c r="I68" s="1"/>
  <c r="J67"/>
  <c r="J68" s="1"/>
  <c r="AF94"/>
  <c r="AF97"/>
  <c r="O14" i="18" s="1"/>
  <c r="O13" i="19" s="1"/>
  <c r="O14" s="1"/>
  <c r="O29" s="1"/>
  <c r="O16" i="3" s="1"/>
  <c r="O96" i="30"/>
  <c r="Z96" s="1"/>
  <c r="D72"/>
  <c r="D73" s="1"/>
  <c r="O94"/>
  <c r="Z94" s="1"/>
  <c r="D62"/>
  <c r="D63" s="1"/>
  <c r="T96"/>
  <c r="AE96" s="1"/>
  <c r="I72"/>
  <c r="I73" s="1"/>
  <c r="O95"/>
  <c r="Z95" s="1"/>
  <c r="D67"/>
  <c r="D68" s="1"/>
  <c r="T97"/>
  <c r="AE97" s="1"/>
  <c r="I77"/>
  <c r="I78" s="1"/>
  <c r="AF95"/>
  <c r="J62"/>
  <c r="J63" s="1"/>
  <c r="J77"/>
  <c r="J78" s="1"/>
  <c r="H62"/>
  <c r="H63" s="1"/>
  <c r="H94"/>
  <c r="AD94" s="1"/>
  <c r="H67"/>
  <c r="H68" s="1"/>
  <c r="H95"/>
  <c r="AD95" s="1"/>
  <c r="C28" i="19"/>
  <c r="C15" i="3" s="1"/>
  <c r="C14" i="19"/>
  <c r="C29" s="1"/>
  <c r="C16" i="3" s="1"/>
  <c r="O28" i="19"/>
  <c r="O15" i="3" s="1"/>
  <c r="H96" i="30"/>
  <c r="AD96" s="1"/>
  <c r="H72"/>
  <c r="H73" s="1"/>
  <c r="H77"/>
  <c r="H78" s="1"/>
  <c r="H97"/>
  <c r="AD97" s="1"/>
  <c r="L62"/>
  <c r="L63" s="1"/>
  <c r="L94"/>
  <c r="AH94" s="1"/>
  <c r="L67"/>
  <c r="L68" s="1"/>
  <c r="L95"/>
  <c r="AH95" s="1"/>
  <c r="L96"/>
  <c r="AH96" s="1"/>
  <c r="C16" i="18" s="1"/>
  <c r="L72" i="30"/>
  <c r="L73" s="1"/>
  <c r="L77"/>
  <c r="L78" s="1"/>
  <c r="L97"/>
  <c r="AH97" s="1"/>
  <c r="O16" i="18" s="1"/>
  <c r="U94" i="29"/>
  <c r="AF94" s="1"/>
  <c r="J62"/>
  <c r="J63" s="1"/>
  <c r="R96"/>
  <c r="AC96" s="1"/>
  <c r="G72"/>
  <c r="G73" s="1"/>
  <c r="U95"/>
  <c r="AF95" s="1"/>
  <c r="J67"/>
  <c r="J68" s="1"/>
  <c r="R97"/>
  <c r="AC97" s="1"/>
  <c r="G77"/>
  <c r="G78" s="1"/>
  <c r="U96"/>
  <c r="AF96" s="1"/>
  <c r="C11" i="18" s="1"/>
  <c r="C10" i="19" s="1"/>
  <c r="J72" i="29"/>
  <c r="J73" s="1"/>
  <c r="R94"/>
  <c r="AC94" s="1"/>
  <c r="G62"/>
  <c r="G63" s="1"/>
  <c r="U97"/>
  <c r="AF97" s="1"/>
  <c r="O11" i="18" s="1"/>
  <c r="O10" i="19" s="1"/>
  <c r="J77" i="29"/>
  <c r="J78" s="1"/>
  <c r="R95"/>
  <c r="AC95" s="1"/>
  <c r="G67"/>
  <c r="G68" s="1"/>
  <c r="F62"/>
  <c r="F63" s="1"/>
  <c r="F94"/>
  <c r="AB94" s="1"/>
  <c r="F67"/>
  <c r="F68" s="1"/>
  <c r="F95"/>
  <c r="AB95" s="1"/>
  <c r="F72"/>
  <c r="F73" s="1"/>
  <c r="F96"/>
  <c r="AB96" s="1"/>
  <c r="H95"/>
  <c r="AD95" s="1"/>
  <c r="H67"/>
  <c r="H68" s="1"/>
  <c r="H72"/>
  <c r="H73" s="1"/>
  <c r="H96"/>
  <c r="AD96" s="1"/>
  <c r="H77"/>
  <c r="H78" s="1"/>
  <c r="H97"/>
  <c r="AD97" s="1"/>
  <c r="F77"/>
  <c r="F78" s="1"/>
  <c r="F97"/>
  <c r="AB97" s="1"/>
  <c r="H94"/>
  <c r="AD94" s="1"/>
  <c r="H62"/>
  <c r="H63" s="1"/>
  <c r="E95" i="15"/>
  <c r="AA95" s="1"/>
  <c r="E67"/>
  <c r="E68" s="1"/>
  <c r="E72"/>
  <c r="E73" s="1"/>
  <c r="E96"/>
  <c r="AA96" s="1"/>
  <c r="C8" i="19"/>
  <c r="E62" i="15"/>
  <c r="E63" s="1"/>
  <c r="E94"/>
  <c r="AA94" s="1"/>
  <c r="E77"/>
  <c r="E78" s="1"/>
  <c r="E97"/>
  <c r="AA97" s="1"/>
  <c r="O8" i="19"/>
  <c r="D94" i="15"/>
  <c r="Z94" s="1"/>
  <c r="D62"/>
  <c r="D63" s="1"/>
  <c r="D72"/>
  <c r="D73" s="1"/>
  <c r="D96"/>
  <c r="Z96" s="1"/>
  <c r="D95"/>
  <c r="Z95" s="1"/>
  <c r="D67"/>
  <c r="D68" s="1"/>
  <c r="D97"/>
  <c r="Z97" s="1"/>
  <c r="D77"/>
  <c r="D78" s="1"/>
  <c r="O15" i="19" l="1"/>
  <c r="O30" s="1"/>
  <c r="O17" i="3" s="1"/>
  <c r="C31" i="19"/>
  <c r="C18" i="3" s="1"/>
  <c r="C15" i="19"/>
  <c r="C30" s="1"/>
  <c r="C17" i="3" s="1"/>
  <c r="O25" i="19"/>
  <c r="O12" i="3" s="1"/>
  <c r="O11" i="19"/>
  <c r="C25"/>
  <c r="C12" i="3" s="1"/>
  <c r="C11" i="19"/>
  <c r="C22"/>
  <c r="C9" i="3" s="1"/>
  <c r="C9" i="19"/>
  <c r="C23" s="1"/>
  <c r="C10" i="3" s="1"/>
  <c r="O22" i="19"/>
  <c r="O9" i="3" s="1"/>
  <c r="O9" i="19"/>
  <c r="O23" s="1"/>
  <c r="O10" i="3" s="1"/>
  <c r="O26" i="19" l="1"/>
  <c r="O13" i="3" s="1"/>
  <c r="O12" i="19"/>
  <c r="O27" s="1"/>
  <c r="O14" i="3" s="1"/>
  <c r="C26" i="19"/>
  <c r="C13" i="3" s="1"/>
  <c r="C12" i="19"/>
  <c r="C27" s="1"/>
  <c r="C14" i="3" s="1"/>
  <c r="G32" i="9" l="1"/>
  <c r="K32"/>
  <c r="O32"/>
  <c r="S32"/>
  <c r="W32"/>
  <c r="G48" i="8"/>
  <c r="K48"/>
  <c r="O48"/>
  <c r="S48"/>
  <c r="W48"/>
  <c r="A16" i="26"/>
  <c r="A9" i="9"/>
  <c r="A10" i="26"/>
  <c r="A21"/>
  <c r="A25"/>
  <c r="A23"/>
  <c r="A27"/>
  <c r="A12"/>
  <c r="A13"/>
  <c r="A18"/>
  <c r="A4"/>
  <c r="I32" i="9"/>
  <c r="I48" i="8"/>
  <c r="Q48"/>
  <c r="A15" i="26"/>
  <c r="A24"/>
  <c r="A3"/>
  <c r="H32" i="9"/>
  <c r="L32"/>
  <c r="P32"/>
  <c r="X32"/>
  <c r="H48" i="8"/>
  <c r="P48"/>
  <c r="X48"/>
  <c r="A7" i="26"/>
  <c r="A26"/>
  <c r="F32" i="9"/>
  <c r="J32"/>
  <c r="N32"/>
  <c r="R32"/>
  <c r="V32"/>
  <c r="F48" i="8"/>
  <c r="J48"/>
  <c r="N48"/>
  <c r="R48"/>
  <c r="V48"/>
  <c r="A9"/>
  <c r="A14" i="26"/>
  <c r="A5"/>
  <c r="A20"/>
  <c r="A29"/>
  <c r="A11"/>
  <c r="A17"/>
  <c r="A19"/>
  <c r="E32" i="9"/>
  <c r="M32"/>
  <c r="Q32"/>
  <c r="U32"/>
  <c r="E48" i="8"/>
  <c r="M48"/>
  <c r="U48"/>
  <c r="A6" i="26"/>
  <c r="A28"/>
  <c r="A8"/>
  <c r="T32" i="9"/>
  <c r="L48" i="8"/>
  <c r="T48"/>
  <c r="A30" i="26"/>
  <c r="A22"/>
  <c r="A9"/>
  <c r="E21" l="1"/>
  <c r="E29"/>
  <c r="E20"/>
  <c r="E19"/>
  <c r="E22"/>
  <c r="E18"/>
  <c r="E17"/>
  <c r="E27"/>
  <c r="E28"/>
  <c r="E23"/>
  <c r="E25"/>
  <c r="E24"/>
  <c r="E30"/>
  <c r="E26"/>
  <c r="E6"/>
  <c r="E15"/>
  <c r="E9"/>
  <c r="E13"/>
  <c r="E8"/>
  <c r="E14"/>
  <c r="E12"/>
  <c r="E5"/>
  <c r="E11"/>
  <c r="E4"/>
  <c r="E16"/>
  <c r="E3"/>
  <c r="E7"/>
  <c r="E10"/>
  <c r="A26" i="9"/>
  <c r="A41" i="8"/>
  <c r="E41" s="1"/>
  <c r="A34"/>
  <c r="A24" i="9"/>
  <c r="A42" i="8"/>
  <c r="E42" s="1"/>
  <c r="A33"/>
  <c r="A25" i="9"/>
  <c r="A32" i="8"/>
  <c r="A23" i="9"/>
  <c r="A40" i="8"/>
  <c r="E40" s="1"/>
  <c r="A43"/>
  <c r="E43" s="1"/>
  <c r="E45" l="1"/>
  <c r="A31" l="1"/>
  <c r="O14" l="1"/>
  <c r="O32" s="1"/>
  <c r="G15"/>
  <c r="G33" s="1"/>
  <c r="X16"/>
  <c r="H15"/>
  <c r="H33" s="1"/>
  <c r="S16"/>
  <c r="S34" s="1"/>
  <c r="X14"/>
  <c r="R16"/>
  <c r="R34" s="1"/>
  <c r="L16"/>
  <c r="L34" s="1"/>
  <c r="V14"/>
  <c r="V32" s="1"/>
  <c r="F15"/>
  <c r="F33" s="1"/>
  <c r="Q15"/>
  <c r="Q33" s="1"/>
  <c r="X15"/>
  <c r="N15"/>
  <c r="N33" s="1"/>
  <c r="W16"/>
  <c r="W34" s="1"/>
  <c r="M13"/>
  <c r="N14"/>
  <c r="N32" s="1"/>
  <c r="R13"/>
  <c r="T16"/>
  <c r="T34" s="1"/>
  <c r="U15"/>
  <c r="U33" s="1"/>
  <c r="M15"/>
  <c r="M33" s="1"/>
  <c r="I15"/>
  <c r="I33" s="1"/>
  <c r="P14"/>
  <c r="P32" s="1"/>
  <c r="N13"/>
  <c r="I16"/>
  <c r="I34" s="1"/>
  <c r="R14"/>
  <c r="R32" s="1"/>
  <c r="E15"/>
  <c r="E33" s="1"/>
  <c r="E51" s="1"/>
  <c r="G13"/>
  <c r="F14"/>
  <c r="F32" s="1"/>
  <c r="U13"/>
  <c r="H16"/>
  <c r="H34" s="1"/>
  <c r="P13"/>
  <c r="V13"/>
  <c r="Q16"/>
  <c r="Q34" s="1"/>
  <c r="V16"/>
  <c r="V34" s="1"/>
  <c r="O15"/>
  <c r="O33" s="1"/>
  <c r="H14"/>
  <c r="H32" s="1"/>
  <c r="K16"/>
  <c r="K34" s="1"/>
  <c r="E14"/>
  <c r="E32" s="1"/>
  <c r="E50" s="1"/>
  <c r="H13"/>
  <c r="J16"/>
  <c r="J34" s="1"/>
  <c r="M16"/>
  <c r="M34" s="1"/>
  <c r="L15"/>
  <c r="L33" s="1"/>
  <c r="V15"/>
  <c r="V33" s="1"/>
  <c r="M14"/>
  <c r="M32" s="1"/>
  <c r="T14"/>
  <c r="T32" s="1"/>
  <c r="X13"/>
  <c r="L14"/>
  <c r="L32" s="1"/>
  <c r="U16"/>
  <c r="U34" s="1"/>
  <c r="S15"/>
  <c r="S33" s="1"/>
  <c r="P16"/>
  <c r="P34" s="1"/>
  <c r="U14"/>
  <c r="U32" s="1"/>
  <c r="K15"/>
  <c r="K33" s="1"/>
  <c r="J15"/>
  <c r="J33" s="1"/>
  <c r="G16"/>
  <c r="G34" s="1"/>
  <c r="Q13"/>
  <c r="S13"/>
  <c r="G14"/>
  <c r="G32" s="1"/>
  <c r="O16"/>
  <c r="O34" s="1"/>
  <c r="I13"/>
  <c r="R15"/>
  <c r="R33" s="1"/>
  <c r="Q14"/>
  <c r="Q32" s="1"/>
  <c r="F16"/>
  <c r="F34" s="1"/>
  <c r="J13"/>
  <c r="E13"/>
  <c r="T15"/>
  <c r="T33" s="1"/>
  <c r="E16"/>
  <c r="E34" s="1"/>
  <c r="E52" s="1"/>
  <c r="F13"/>
  <c r="S14"/>
  <c r="S32" s="1"/>
  <c r="J14"/>
  <c r="J32" s="1"/>
  <c r="N16"/>
  <c r="N34" s="1"/>
  <c r="K14"/>
  <c r="K32" s="1"/>
  <c r="W15"/>
  <c r="W33" s="1"/>
  <c r="K13"/>
  <c r="P15"/>
  <c r="P33" s="1"/>
  <c r="W14"/>
  <c r="W32" s="1"/>
  <c r="I14"/>
  <c r="I32" s="1"/>
  <c r="O13"/>
  <c r="L13"/>
  <c r="T13"/>
  <c r="W13"/>
  <c r="I14" i="9"/>
  <c r="P16"/>
  <c r="L13"/>
  <c r="R16"/>
  <c r="J16"/>
  <c r="K16"/>
  <c r="G16"/>
  <c r="O13"/>
  <c r="E14"/>
  <c r="T13"/>
  <c r="N16"/>
  <c r="L16"/>
  <c r="W13"/>
  <c r="J13"/>
  <c r="X13"/>
  <c r="I16"/>
  <c r="K13"/>
  <c r="G13"/>
  <c r="R13"/>
  <c r="X16"/>
  <c r="F16"/>
  <c r="O16"/>
  <c r="E16"/>
  <c r="Q16"/>
  <c r="M13"/>
  <c r="X14"/>
  <c r="V14"/>
  <c r="U14"/>
  <c r="E13"/>
  <c r="M16"/>
  <c r="V13"/>
  <c r="F13"/>
  <c r="W16"/>
  <c r="U13"/>
  <c r="V16"/>
  <c r="H16"/>
  <c r="F14"/>
  <c r="H13"/>
  <c r="R15"/>
  <c r="V15"/>
  <c r="Q14"/>
  <c r="J15"/>
  <c r="J14"/>
  <c r="I15"/>
  <c r="L15"/>
  <c r="Q15"/>
  <c r="P13"/>
  <c r="T16"/>
  <c r="N13"/>
  <c r="T15"/>
  <c r="P14"/>
  <c r="O15"/>
  <c r="O14"/>
  <c r="L14"/>
  <c r="S14"/>
  <c r="T14"/>
  <c r="H15"/>
  <c r="U16"/>
  <c r="S16"/>
  <c r="N14"/>
  <c r="Q13"/>
  <c r="W14"/>
  <c r="S13"/>
  <c r="G14"/>
  <c r="W15"/>
  <c r="I13"/>
  <c r="U15"/>
  <c r="M15"/>
  <c r="M14"/>
  <c r="H14"/>
  <c r="P15"/>
  <c r="E15"/>
  <c r="K14"/>
  <c r="K15"/>
  <c r="R14"/>
  <c r="F15"/>
  <c r="S15"/>
  <c r="N15"/>
  <c r="X15"/>
  <c r="G15"/>
  <c r="L18" i="8" l="1"/>
  <c r="L31"/>
  <c r="L36" s="1"/>
  <c r="Z13"/>
  <c r="X18"/>
  <c r="X31"/>
  <c r="E66"/>
  <c r="K22" i="26" s="1"/>
  <c r="E70" i="8"/>
  <c r="K26" i="26" s="1"/>
  <c r="E62" i="8"/>
  <c r="K18" i="26" s="1"/>
  <c r="F18" i="8"/>
  <c r="F31"/>
  <c r="F36" s="1"/>
  <c r="I18"/>
  <c r="I31"/>
  <c r="I36" s="1"/>
  <c r="Q18"/>
  <c r="Q31"/>
  <c r="Q36" s="1"/>
  <c r="G18"/>
  <c r="G31"/>
  <c r="G36" s="1"/>
  <c r="Z16"/>
  <c r="X34"/>
  <c r="AA34" s="1"/>
  <c r="O18"/>
  <c r="O31"/>
  <c r="O36" s="1"/>
  <c r="K18"/>
  <c r="K31"/>
  <c r="K36" s="1"/>
  <c r="U18"/>
  <c r="U31"/>
  <c r="U36" s="1"/>
  <c r="R18"/>
  <c r="R31"/>
  <c r="R36" s="1"/>
  <c r="E68"/>
  <c r="K24" i="26" s="1"/>
  <c r="E64" i="8"/>
  <c r="K20" i="26" s="1"/>
  <c r="E72" i="8"/>
  <c r="K28" i="26" s="1"/>
  <c r="E74" i="8"/>
  <c r="K30" i="26" s="1"/>
  <c r="E63" i="8"/>
  <c r="K19" i="26" s="1"/>
  <c r="E71" i="8"/>
  <c r="K27" i="26" s="1"/>
  <c r="E67" i="8"/>
  <c r="K23" i="26" s="1"/>
  <c r="Z14" i="8"/>
  <c r="X32"/>
  <c r="AA32" s="1"/>
  <c r="T18"/>
  <c r="T31"/>
  <c r="T36" s="1"/>
  <c r="J18"/>
  <c r="J31"/>
  <c r="J36" s="1"/>
  <c r="H18"/>
  <c r="H31"/>
  <c r="H36" s="1"/>
  <c r="P18"/>
  <c r="P31"/>
  <c r="P36" s="1"/>
  <c r="N18"/>
  <c r="N31"/>
  <c r="N36" s="1"/>
  <c r="M18"/>
  <c r="M31"/>
  <c r="M36" s="1"/>
  <c r="W18"/>
  <c r="W31"/>
  <c r="W36" s="1"/>
  <c r="E18"/>
  <c r="E27" s="1"/>
  <c r="E31"/>
  <c r="S18"/>
  <c r="S31"/>
  <c r="S36" s="1"/>
  <c r="V18"/>
  <c r="V31"/>
  <c r="V36" s="1"/>
  <c r="Z15"/>
  <c r="X33"/>
  <c r="AA33" s="1"/>
  <c r="S25" i="9"/>
  <c r="S35" s="1"/>
  <c r="S148" s="1"/>
  <c r="T24" i="8" s="1"/>
  <c r="K24" i="9"/>
  <c r="K34" s="1"/>
  <c r="M24"/>
  <c r="M34" s="1"/>
  <c r="M147"/>
  <c r="N23" i="8" s="1"/>
  <c r="W25" i="9"/>
  <c r="W35" s="1"/>
  <c r="Q18"/>
  <c r="Q23"/>
  <c r="H25"/>
  <c r="H35" s="1"/>
  <c r="H148" s="1"/>
  <c r="I24" i="8" s="1"/>
  <c r="O24" i="9"/>
  <c r="O34" s="1"/>
  <c r="N18"/>
  <c r="N23"/>
  <c r="L25"/>
  <c r="L35" s="1"/>
  <c r="Q24"/>
  <c r="Q34" s="1"/>
  <c r="Q147" s="1"/>
  <c r="R23" i="8" s="1"/>
  <c r="F24" i="9"/>
  <c r="F34" s="1"/>
  <c r="W26"/>
  <c r="W36" s="1"/>
  <c r="W149" s="1"/>
  <c r="X25" i="8" s="1"/>
  <c r="E18" i="9"/>
  <c r="AA13"/>
  <c r="E23"/>
  <c r="M18"/>
  <c r="M23"/>
  <c r="F26"/>
  <c r="F36" s="1"/>
  <c r="K18"/>
  <c r="K23"/>
  <c r="W18"/>
  <c r="W23"/>
  <c r="AA14"/>
  <c r="E24"/>
  <c r="E34" s="1"/>
  <c r="J26"/>
  <c r="J36" s="1"/>
  <c r="J149" s="1"/>
  <c r="K25" i="8" s="1"/>
  <c r="I24" i="9"/>
  <c r="I34" s="1"/>
  <c r="N25"/>
  <c r="N35" s="1"/>
  <c r="N148" s="1"/>
  <c r="O24" i="8" s="1"/>
  <c r="K25" i="9"/>
  <c r="K35" s="1"/>
  <c r="H24"/>
  <c r="H34" s="1"/>
  <c r="H147" s="1"/>
  <c r="I23" i="8" s="1"/>
  <c r="I18" i="9"/>
  <c r="I23"/>
  <c r="W24"/>
  <c r="W34" s="1"/>
  <c r="U26"/>
  <c r="U36" s="1"/>
  <c r="U149" s="1"/>
  <c r="V25" i="8" s="1"/>
  <c r="L24" i="9"/>
  <c r="L34" s="1"/>
  <c r="T25"/>
  <c r="T35" s="1"/>
  <c r="T148" s="1"/>
  <c r="U24" i="8" s="1"/>
  <c r="Q25" i="9"/>
  <c r="Q35" s="1"/>
  <c r="J25"/>
  <c r="J35" s="1"/>
  <c r="J148" s="1"/>
  <c r="K24" i="8" s="1"/>
  <c r="H18" i="9"/>
  <c r="H23"/>
  <c r="U18"/>
  <c r="U23"/>
  <c r="M26"/>
  <c r="M36" s="1"/>
  <c r="M149" s="1"/>
  <c r="N25" i="8" s="1"/>
  <c r="X24" i="9"/>
  <c r="O26"/>
  <c r="O36" s="1"/>
  <c r="O149" s="1"/>
  <c r="P25" i="8" s="1"/>
  <c r="G18" i="9"/>
  <c r="G23"/>
  <c r="J18"/>
  <c r="J23"/>
  <c r="T18"/>
  <c r="T23"/>
  <c r="K26"/>
  <c r="K36" s="1"/>
  <c r="P26"/>
  <c r="P36" s="1"/>
  <c r="P149" s="1"/>
  <c r="Q25" i="8" s="1"/>
  <c r="X25" i="9"/>
  <c r="R24"/>
  <c r="R34" s="1"/>
  <c r="R147"/>
  <c r="S23" i="8" s="1"/>
  <c r="P25" i="9"/>
  <c r="P35" s="1"/>
  <c r="U25"/>
  <c r="U35" s="1"/>
  <c r="U148"/>
  <c r="V24" i="8" s="1"/>
  <c r="S18" i="9"/>
  <c r="S23"/>
  <c r="S26"/>
  <c r="S36" s="1"/>
  <c r="S24"/>
  <c r="S34" s="1"/>
  <c r="S147" s="1"/>
  <c r="T23" i="8" s="1"/>
  <c r="P24" i="9"/>
  <c r="P34" s="1"/>
  <c r="P18"/>
  <c r="P23"/>
  <c r="J24"/>
  <c r="J34" s="1"/>
  <c r="R25"/>
  <c r="R35" s="1"/>
  <c r="R148" s="1"/>
  <c r="S24" i="8" s="1"/>
  <c r="V26" i="9"/>
  <c r="V36" s="1"/>
  <c r="V18"/>
  <c r="V23"/>
  <c r="V24"/>
  <c r="V34" s="1"/>
  <c r="V147" s="1"/>
  <c r="W23" i="8" s="1"/>
  <c r="AA16" i="9"/>
  <c r="E26"/>
  <c r="E36" s="1"/>
  <c r="R18"/>
  <c r="R23"/>
  <c r="X18"/>
  <c r="X23"/>
  <c r="N26"/>
  <c r="N36" s="1"/>
  <c r="G26"/>
  <c r="G36" s="1"/>
  <c r="G149" s="1"/>
  <c r="H25" i="8" s="1"/>
  <c r="L18" i="9"/>
  <c r="L23"/>
  <c r="G25"/>
  <c r="G35" s="1"/>
  <c r="F25"/>
  <c r="F35" s="1"/>
  <c r="F148" s="1"/>
  <c r="G24" i="8" s="1"/>
  <c r="AA15" i="9"/>
  <c r="E25"/>
  <c r="E35" s="1"/>
  <c r="M25"/>
  <c r="M35" s="1"/>
  <c r="M148" s="1"/>
  <c r="N24" i="8" s="1"/>
  <c r="G24" i="9"/>
  <c r="G34" s="1"/>
  <c r="N24"/>
  <c r="N34" s="1"/>
  <c r="N147" s="1"/>
  <c r="O23" i="8" s="1"/>
  <c r="T24" i="9"/>
  <c r="T34" s="1"/>
  <c r="O25"/>
  <c r="O35" s="1"/>
  <c r="O148"/>
  <c r="P24" i="8" s="1"/>
  <c r="T26" i="9"/>
  <c r="T36" s="1"/>
  <c r="I25"/>
  <c r="I35" s="1"/>
  <c r="I148"/>
  <c r="J24" i="8" s="1"/>
  <c r="V25" i="9"/>
  <c r="V35" s="1"/>
  <c r="H26"/>
  <c r="H36" s="1"/>
  <c r="H149" s="1"/>
  <c r="I25" i="8" s="1"/>
  <c r="F18" i="9"/>
  <c r="F23"/>
  <c r="U24"/>
  <c r="U34" s="1"/>
  <c r="Q26"/>
  <c r="Q36" s="1"/>
  <c r="Q149" s="1"/>
  <c r="R25" i="8" s="1"/>
  <c r="X26" i="9"/>
  <c r="I26"/>
  <c r="I36" s="1"/>
  <c r="I149" s="1"/>
  <c r="J25" i="8" s="1"/>
  <c r="L26" i="9"/>
  <c r="L36" s="1"/>
  <c r="O18"/>
  <c r="O23"/>
  <c r="R26"/>
  <c r="R36" s="1"/>
  <c r="E49" i="8" l="1"/>
  <c r="E36"/>
  <c r="AA36" s="1"/>
  <c r="AA31"/>
  <c r="X36"/>
  <c r="L57" i="9"/>
  <c r="R16" i="26" s="1"/>
  <c r="L47" i="9"/>
  <c r="R6" i="26" s="1"/>
  <c r="L51" i="9"/>
  <c r="R10" i="26" s="1"/>
  <c r="L55" i="9"/>
  <c r="R14" i="26" s="1"/>
  <c r="U53" i="9"/>
  <c r="AA12" i="26" s="1"/>
  <c r="U49" i="9"/>
  <c r="AA8" i="26" s="1"/>
  <c r="U45" i="9"/>
  <c r="AA4" i="26" s="1"/>
  <c r="G46" i="9"/>
  <c r="M5" i="26" s="1"/>
  <c r="G54" i="9"/>
  <c r="M13" i="26" s="1"/>
  <c r="G50" i="9"/>
  <c r="M9" i="26" s="1"/>
  <c r="R33" i="9"/>
  <c r="R28"/>
  <c r="P45"/>
  <c r="V4" i="26" s="1"/>
  <c r="P49" i="9"/>
  <c r="V8" i="26" s="1"/>
  <c r="P53" i="9"/>
  <c r="V12" i="26" s="1"/>
  <c r="S51" i="9"/>
  <c r="Y10" i="26" s="1"/>
  <c r="S47" i="9"/>
  <c r="Y6" i="26" s="1"/>
  <c r="S55" i="9"/>
  <c r="Y14" i="26" s="1"/>
  <c r="S57" i="9"/>
  <c r="Y16" i="26" s="1"/>
  <c r="J33" i="9"/>
  <c r="J28"/>
  <c r="AA24"/>
  <c r="X34"/>
  <c r="Q54"/>
  <c r="W13" i="26" s="1"/>
  <c r="Q46" i="9"/>
  <c r="W5" i="26" s="1"/>
  <c r="Q50" i="9"/>
  <c r="W9" i="26" s="1"/>
  <c r="W45" i="9"/>
  <c r="AC4" i="26" s="1"/>
  <c r="W53" i="9"/>
  <c r="AC12" i="26" s="1"/>
  <c r="W49" i="9"/>
  <c r="AC8" i="26" s="1"/>
  <c r="O45" i="9"/>
  <c r="U4" i="26" s="1"/>
  <c r="O53" i="9"/>
  <c r="U12" i="26" s="1"/>
  <c r="O49" i="9"/>
  <c r="U8" i="26" s="1"/>
  <c r="O33" i="9"/>
  <c r="O28"/>
  <c r="H47"/>
  <c r="N6" i="26" s="1"/>
  <c r="H51" i="9"/>
  <c r="N10" i="26" s="1"/>
  <c r="H57" i="9"/>
  <c r="N16" i="26" s="1"/>
  <c r="H55" i="9"/>
  <c r="N14" i="26" s="1"/>
  <c r="I54" i="9"/>
  <c r="O13" i="26" s="1"/>
  <c r="I46" i="9"/>
  <c r="O5" i="26" s="1"/>
  <c r="I50" i="9"/>
  <c r="O9" i="26" s="1"/>
  <c r="O50" i="9"/>
  <c r="U9" i="26" s="1"/>
  <c r="O54" i="9"/>
  <c r="U13" i="26" s="1"/>
  <c r="O46" i="9"/>
  <c r="U5" i="26" s="1"/>
  <c r="N45" i="9"/>
  <c r="T4" i="26" s="1"/>
  <c r="N49" i="9"/>
  <c r="T8" i="26" s="1"/>
  <c r="N53" i="9"/>
  <c r="T12" i="26" s="1"/>
  <c r="M46" i="9"/>
  <c r="S5" i="26" s="1"/>
  <c r="M50" i="9"/>
  <c r="S9" i="26" s="1"/>
  <c r="M54" i="9"/>
  <c r="S13" i="26" s="1"/>
  <c r="G57" i="9"/>
  <c r="M16" i="26" s="1"/>
  <c r="G51" i="9"/>
  <c r="M10" i="26" s="1"/>
  <c r="G47" i="9"/>
  <c r="M6" i="26" s="1"/>
  <c r="G55" i="9"/>
  <c r="M14" i="26" s="1"/>
  <c r="X33" i="9"/>
  <c r="X28"/>
  <c r="AA28" s="1"/>
  <c r="AA23"/>
  <c r="R54"/>
  <c r="X13" i="26" s="1"/>
  <c r="R46" i="9"/>
  <c r="X5" i="26" s="1"/>
  <c r="R50" i="9"/>
  <c r="X9" i="26" s="1"/>
  <c r="P33" i="9"/>
  <c r="P28"/>
  <c r="U54"/>
  <c r="AA13" i="26" s="1"/>
  <c r="U50" i="9"/>
  <c r="AA9" i="26" s="1"/>
  <c r="U46" i="9"/>
  <c r="AA5" i="26" s="1"/>
  <c r="R53" i="9"/>
  <c r="X12" i="26" s="1"/>
  <c r="R45" i="9"/>
  <c r="X4" i="26" s="1"/>
  <c r="R49" i="9"/>
  <c r="X8" i="26" s="1"/>
  <c r="P55" i="9"/>
  <c r="V14" i="26" s="1"/>
  <c r="P57" i="9"/>
  <c r="V16" i="26" s="1"/>
  <c r="P47" i="9"/>
  <c r="V6" i="26" s="1"/>
  <c r="P51" i="9"/>
  <c r="V10" i="26" s="1"/>
  <c r="T33" i="9"/>
  <c r="T28"/>
  <c r="H53"/>
  <c r="N12" i="26" s="1"/>
  <c r="H49" i="9"/>
  <c r="N8" i="26" s="1"/>
  <c r="H45" i="9"/>
  <c r="N4" i="26" s="1"/>
  <c r="N54" i="9"/>
  <c r="T13" i="26" s="1"/>
  <c r="N46" i="9"/>
  <c r="T5" i="26" s="1"/>
  <c r="N50" i="9"/>
  <c r="T9" i="26" s="1"/>
  <c r="J51" i="9"/>
  <c r="P10" i="26" s="1"/>
  <c r="J57" i="9"/>
  <c r="P16" i="26" s="1"/>
  <c r="J55" i="9"/>
  <c r="P14" i="26" s="1"/>
  <c r="J47" i="9"/>
  <c r="P6" i="26" s="1"/>
  <c r="K33" i="9"/>
  <c r="K28"/>
  <c r="E28"/>
  <c r="E33"/>
  <c r="W47"/>
  <c r="AC6" i="26" s="1"/>
  <c r="W57" i="9"/>
  <c r="AC16" i="26" s="1"/>
  <c r="W55" i="9"/>
  <c r="AC14" i="26" s="1"/>
  <c r="W51" i="9"/>
  <c r="AC10" i="26" s="1"/>
  <c r="Q49" i="9"/>
  <c r="W8" i="26" s="1"/>
  <c r="Q45" i="9"/>
  <c r="W4" i="26" s="1"/>
  <c r="Q53" i="9"/>
  <c r="W12" i="26" s="1"/>
  <c r="N33" i="9"/>
  <c r="N28"/>
  <c r="M45"/>
  <c r="S4" i="26" s="1"/>
  <c r="M53" i="9"/>
  <c r="S12" i="26" s="1"/>
  <c r="M49" i="9"/>
  <c r="S8" i="26" s="1"/>
  <c r="S54" i="9"/>
  <c r="Y13" i="26" s="1"/>
  <c r="S50" i="9"/>
  <c r="Y9" i="26" s="1"/>
  <c r="S46" i="9"/>
  <c r="Y5" i="26" s="1"/>
  <c r="X36" i="9"/>
  <c r="AA26"/>
  <c r="V33"/>
  <c r="V28"/>
  <c r="U33"/>
  <c r="U28"/>
  <c r="L49"/>
  <c r="R8" i="26" s="1"/>
  <c r="L45" i="9"/>
  <c r="R4" i="26" s="1"/>
  <c r="L53" i="9"/>
  <c r="R12" i="26" s="1"/>
  <c r="F51" i="9"/>
  <c r="L10" i="26" s="1"/>
  <c r="F57" i="9"/>
  <c r="L16" i="26" s="1"/>
  <c r="F55" i="9"/>
  <c r="L14" i="26" s="1"/>
  <c r="F47" i="9"/>
  <c r="L6" i="26" s="1"/>
  <c r="Q28" i="9"/>
  <c r="Q33"/>
  <c r="R51"/>
  <c r="X10" i="26" s="1"/>
  <c r="R57" i="9"/>
  <c r="X16" i="26" s="1"/>
  <c r="R47" i="9"/>
  <c r="X6" i="26" s="1"/>
  <c r="R55" i="9"/>
  <c r="X14" i="26" s="1"/>
  <c r="V46" i="9"/>
  <c r="AB5" i="26" s="1"/>
  <c r="V54" i="9"/>
  <c r="AB13" i="26" s="1"/>
  <c r="V50" i="9"/>
  <c r="AB9" i="26" s="1"/>
  <c r="T57" i="9"/>
  <c r="Z16" i="26" s="1"/>
  <c r="T47" i="9"/>
  <c r="Z6" i="26" s="1"/>
  <c r="T51" i="9"/>
  <c r="Z10" i="26" s="1"/>
  <c r="T55" i="9"/>
  <c r="Z14" i="26" s="1"/>
  <c r="T45" i="9"/>
  <c r="Z4" i="26" s="1"/>
  <c r="T53" i="9"/>
  <c r="Z12" i="26" s="1"/>
  <c r="T49" i="9"/>
  <c r="Z8" i="26" s="1"/>
  <c r="G53" i="9"/>
  <c r="M12" i="26" s="1"/>
  <c r="G49" i="9"/>
  <c r="M8" i="26" s="1"/>
  <c r="G45" i="9"/>
  <c r="M4" i="26" s="1"/>
  <c r="E54" i="9"/>
  <c r="E50"/>
  <c r="E46"/>
  <c r="N55"/>
  <c r="T14" i="26" s="1"/>
  <c r="N47" i="9"/>
  <c r="T6" i="26" s="1"/>
  <c r="N51" i="9"/>
  <c r="T10" i="26" s="1"/>
  <c r="N57" i="9"/>
  <c r="T16" i="26" s="1"/>
  <c r="E47" i="9"/>
  <c r="E51"/>
  <c r="E55"/>
  <c r="E57"/>
  <c r="V57"/>
  <c r="AB16" i="26" s="1"/>
  <c r="V47" i="9"/>
  <c r="AB6" i="26" s="1"/>
  <c r="V51" i="9"/>
  <c r="AB10" i="26" s="1"/>
  <c r="V55" i="9"/>
  <c r="AB14" i="26" s="1"/>
  <c r="J53" i="9"/>
  <c r="P12" i="26" s="1"/>
  <c r="J49" i="9"/>
  <c r="P8" i="26" s="1"/>
  <c r="J45" i="9"/>
  <c r="P4" i="26" s="1"/>
  <c r="P46" i="9"/>
  <c r="V5" i="26" s="1"/>
  <c r="P50" i="9"/>
  <c r="V9" i="26" s="1"/>
  <c r="P54" i="9"/>
  <c r="V13" i="26" s="1"/>
  <c r="AA25" i="9"/>
  <c r="X35"/>
  <c r="K47"/>
  <c r="Q6" i="26" s="1"/>
  <c r="K57" i="9"/>
  <c r="Q16" i="26" s="1"/>
  <c r="K51" i="9"/>
  <c r="Q10" i="26" s="1"/>
  <c r="K55" i="9"/>
  <c r="Q14" i="26" s="1"/>
  <c r="G28" i="9"/>
  <c r="G33"/>
  <c r="H33"/>
  <c r="H28"/>
  <c r="K54"/>
  <c r="Q13" i="26" s="1"/>
  <c r="K50" i="9"/>
  <c r="Q9" i="26" s="1"/>
  <c r="K46" i="9"/>
  <c r="Q5" i="26" s="1"/>
  <c r="I49" i="9"/>
  <c r="O8" i="26" s="1"/>
  <c r="I53" i="9"/>
  <c r="O12" i="26" s="1"/>
  <c r="I45" i="9"/>
  <c r="O4" i="26" s="1"/>
  <c r="E49" i="9"/>
  <c r="E45"/>
  <c r="E53"/>
  <c r="F45"/>
  <c r="L4" i="26" s="1"/>
  <c r="F49" i="9"/>
  <c r="L8" i="26" s="1"/>
  <c r="F53" i="9"/>
  <c r="L12" i="26" s="1"/>
  <c r="L50" i="9"/>
  <c r="R9" i="26" s="1"/>
  <c r="L54" i="9"/>
  <c r="R13" i="26" s="1"/>
  <c r="L46" i="9"/>
  <c r="R5" i="26" s="1"/>
  <c r="W54" i="9"/>
  <c r="AC13" i="26" s="1"/>
  <c r="W46" i="9"/>
  <c r="AC5" i="26" s="1"/>
  <c r="W50" i="9"/>
  <c r="AC9" i="26" s="1"/>
  <c r="K45" i="9"/>
  <c r="Q4" i="26" s="1"/>
  <c r="K53" i="9"/>
  <c r="Q12" i="26" s="1"/>
  <c r="K49" i="9"/>
  <c r="Q8" i="26" s="1"/>
  <c r="I57" i="9"/>
  <c r="O16" i="26" s="1"/>
  <c r="I51" i="9"/>
  <c r="O10" i="26" s="1"/>
  <c r="I47" i="9"/>
  <c r="O6" i="26" s="1"/>
  <c r="I55" i="9"/>
  <c r="O14" i="26" s="1"/>
  <c r="Q57" i="9"/>
  <c r="W16" i="26" s="1"/>
  <c r="Q51" i="9"/>
  <c r="W10" i="26" s="1"/>
  <c r="Q55" i="9"/>
  <c r="W14" i="26" s="1"/>
  <c r="Q47" i="9"/>
  <c r="W6" i="26" s="1"/>
  <c r="F28" i="9"/>
  <c r="F33"/>
  <c r="F54"/>
  <c r="L13" i="26" s="1"/>
  <c r="F46" i="9"/>
  <c r="L5" i="26" s="1"/>
  <c r="F50" i="9"/>
  <c r="L9" i="26" s="1"/>
  <c r="L28" i="9"/>
  <c r="L33"/>
  <c r="V45"/>
  <c r="AB4" i="26" s="1"/>
  <c r="V53" i="9"/>
  <c r="AB12" i="26" s="1"/>
  <c r="V49" i="9"/>
  <c r="AB8" i="26" s="1"/>
  <c r="S53" i="9"/>
  <c r="Y12" i="26" s="1"/>
  <c r="S45" i="9"/>
  <c r="Y4" i="26" s="1"/>
  <c r="S49" i="9"/>
  <c r="Y8" i="26" s="1"/>
  <c r="S33" i="9"/>
  <c r="S28"/>
  <c r="O57"/>
  <c r="U16" i="26" s="1"/>
  <c r="O51" i="9"/>
  <c r="U10" i="26" s="1"/>
  <c r="O47" i="9"/>
  <c r="U6" i="26" s="1"/>
  <c r="O55" i="9"/>
  <c r="U14" i="26" s="1"/>
  <c r="M47" i="9"/>
  <c r="S6" i="26" s="1"/>
  <c r="M55" i="9"/>
  <c r="S14" i="26" s="1"/>
  <c r="M51" i="9"/>
  <c r="S10" i="26" s="1"/>
  <c r="M57" i="9"/>
  <c r="S16" i="26" s="1"/>
  <c r="J54" i="9"/>
  <c r="P13" i="26" s="1"/>
  <c r="J46" i="9"/>
  <c r="P5" i="26" s="1"/>
  <c r="J50" i="9"/>
  <c r="P9" i="26" s="1"/>
  <c r="T50" i="9"/>
  <c r="Z9" i="26" s="1"/>
  <c r="T54" i="9"/>
  <c r="Z13" i="26" s="1"/>
  <c r="T46" i="9"/>
  <c r="Z5" i="26" s="1"/>
  <c r="U51" i="9"/>
  <c r="AA10" i="26" s="1"/>
  <c r="U57" i="9"/>
  <c r="AA16" i="26" s="1"/>
  <c r="U47" i="9"/>
  <c r="AA6" i="26" s="1"/>
  <c r="U55" i="9"/>
  <c r="AA14" i="26" s="1"/>
  <c r="I28" i="9"/>
  <c r="I33"/>
  <c r="W28"/>
  <c r="W33"/>
  <c r="M33"/>
  <c r="M28"/>
  <c r="H50"/>
  <c r="N9" i="26" s="1"/>
  <c r="H54" i="9"/>
  <c r="N13" i="26" s="1"/>
  <c r="H46" i="9"/>
  <c r="N5" i="26" s="1"/>
  <c r="L149" i="9"/>
  <c r="M25" i="8" s="1"/>
  <c r="U147" i="9"/>
  <c r="V23" i="8" s="1"/>
  <c r="G148" i="9"/>
  <c r="H24" i="8" s="1"/>
  <c r="P147" i="9"/>
  <c r="Q23" i="8" s="1"/>
  <c r="S149" i="9"/>
  <c r="T25" i="8" s="1"/>
  <c r="Q148" i="9"/>
  <c r="R24" i="8" s="1"/>
  <c r="L147" i="9"/>
  <c r="M23" i="8" s="1"/>
  <c r="W147" i="9"/>
  <c r="X23" i="8" s="1"/>
  <c r="F149" i="9"/>
  <c r="G25" i="8" s="1"/>
  <c r="G43" s="1"/>
  <c r="AA18" i="9"/>
  <c r="O147"/>
  <c r="P23" i="8" s="1"/>
  <c r="R149" i="9"/>
  <c r="S25" i="8" s="1"/>
  <c r="V148" i="9"/>
  <c r="W24" i="8" s="1"/>
  <c r="T149" i="9"/>
  <c r="U25" i="8" s="1"/>
  <c r="T147" i="9"/>
  <c r="U23" i="8" s="1"/>
  <c r="G147" i="9"/>
  <c r="H23" i="8" s="1"/>
  <c r="E148" i="9"/>
  <c r="F24" i="8" s="1"/>
  <c r="F42" s="1"/>
  <c r="F51" s="1"/>
  <c r="N149" i="9"/>
  <c r="O25" i="8" s="1"/>
  <c r="E149" i="9"/>
  <c r="F25" i="8" s="1"/>
  <c r="F43" s="1"/>
  <c r="F52" s="1"/>
  <c r="V149" i="9"/>
  <c r="W25" i="8" s="1"/>
  <c r="J147" i="9"/>
  <c r="K23" i="8" s="1"/>
  <c r="P148" i="9"/>
  <c r="Q24" i="8" s="1"/>
  <c r="K149" i="9"/>
  <c r="L25" i="8" s="1"/>
  <c r="K148" i="9"/>
  <c r="L24" i="8" s="1"/>
  <c r="I147" i="9"/>
  <c r="J23" i="8" s="1"/>
  <c r="E147" i="9"/>
  <c r="F23" i="8" s="1"/>
  <c r="F41" s="1"/>
  <c r="F50" s="1"/>
  <c r="F147" i="9"/>
  <c r="G23" i="8" s="1"/>
  <c r="L148" i="9"/>
  <c r="M24" i="8" s="1"/>
  <c r="W148" i="9"/>
  <c r="X24" i="8" s="1"/>
  <c r="K147" i="9"/>
  <c r="L23" i="8" s="1"/>
  <c r="E73" l="1"/>
  <c r="K29" i="26" s="1"/>
  <c r="E54" i="8"/>
  <c r="E61"/>
  <c r="E65"/>
  <c r="K21" i="26" s="1"/>
  <c r="E69" i="8"/>
  <c r="K25" i="26" s="1"/>
  <c r="K12"/>
  <c r="K6"/>
  <c r="Y47" i="9"/>
  <c r="AE6" i="26" s="1"/>
  <c r="K13"/>
  <c r="U52" i="9"/>
  <c r="AA11" i="26" s="1"/>
  <c r="U56" i="9"/>
  <c r="AA15" i="26" s="1"/>
  <c r="U38" i="9"/>
  <c r="U44"/>
  <c r="U48"/>
  <c r="AA7" i="26" s="1"/>
  <c r="U146" i="9"/>
  <c r="AA36"/>
  <c r="X51"/>
  <c r="AD10" i="26" s="1"/>
  <c r="X55" i="9"/>
  <c r="AD14" i="26" s="1"/>
  <c r="X47" i="9"/>
  <c r="AD6" i="26" s="1"/>
  <c r="X57" i="9"/>
  <c r="AD16" i="26" s="1"/>
  <c r="X149" i="9"/>
  <c r="AA149" s="1"/>
  <c r="X44"/>
  <c r="X38"/>
  <c r="X52"/>
  <c r="AD11" i="26" s="1"/>
  <c r="X48" i="9"/>
  <c r="AD7" i="26" s="1"/>
  <c r="X56" i="9"/>
  <c r="AD15" i="26" s="1"/>
  <c r="X146" i="9"/>
  <c r="X49"/>
  <c r="AD8" i="26" s="1"/>
  <c r="X45" i="9"/>
  <c r="AD4" i="26" s="1"/>
  <c r="X53" i="9"/>
  <c r="AD12" i="26" s="1"/>
  <c r="X147" i="9"/>
  <c r="AA147" s="1"/>
  <c r="R38"/>
  <c r="R48"/>
  <c r="X7" i="26" s="1"/>
  <c r="R56" i="9"/>
  <c r="X15" i="26" s="1"/>
  <c r="R52" i="9"/>
  <c r="X11" i="26" s="1"/>
  <c r="R44" i="9"/>
  <c r="R146"/>
  <c r="G56"/>
  <c r="M15" i="26" s="1"/>
  <c r="G48" i="9"/>
  <c r="M7" i="26" s="1"/>
  <c r="G52" i="9"/>
  <c r="M11" i="26" s="1"/>
  <c r="G44" i="9"/>
  <c r="G38"/>
  <c r="G146"/>
  <c r="E56"/>
  <c r="AA33"/>
  <c r="E44"/>
  <c r="E38"/>
  <c r="E48"/>
  <c r="E52"/>
  <c r="E146"/>
  <c r="F72" i="8"/>
  <c r="F68"/>
  <c r="F74"/>
  <c r="F64"/>
  <c r="M44" i="9"/>
  <c r="M52"/>
  <c r="S11" i="26" s="1"/>
  <c r="M56" i="9"/>
  <c r="S15" i="26" s="1"/>
  <c r="M38" i="9"/>
  <c r="M48"/>
  <c r="S7" i="26" s="1"/>
  <c r="M146" i="9"/>
  <c r="S38"/>
  <c r="S48"/>
  <c r="Y7" i="26" s="1"/>
  <c r="S52" i="9"/>
  <c r="Y11" i="26" s="1"/>
  <c r="S56" i="9"/>
  <c r="Y15" i="26" s="1"/>
  <c r="S44" i="9"/>
  <c r="S146"/>
  <c r="F52"/>
  <c r="L11" i="26" s="1"/>
  <c r="F44" i="9"/>
  <c r="F48"/>
  <c r="L7" i="26" s="1"/>
  <c r="F38" i="9"/>
  <c r="F56"/>
  <c r="L15" i="26" s="1"/>
  <c r="F146" i="9"/>
  <c r="Y45"/>
  <c r="AE4" i="26" s="1"/>
  <c r="K4"/>
  <c r="X50" i="9"/>
  <c r="AD9" i="26" s="1"/>
  <c r="X54" i="9"/>
  <c r="AD13" i="26" s="1"/>
  <c r="X46" i="9"/>
  <c r="AD5" i="26" s="1"/>
  <c r="X148" i="9"/>
  <c r="AA148" s="1"/>
  <c r="K16" i="26"/>
  <c r="Y57" i="9"/>
  <c r="AE16" i="26" s="1"/>
  <c r="G41" i="8"/>
  <c r="G50" s="1"/>
  <c r="AA35" i="9"/>
  <c r="I56"/>
  <c r="O15" i="26" s="1"/>
  <c r="I44" i="9"/>
  <c r="I52"/>
  <c r="O11" i="26" s="1"/>
  <c r="I48" i="9"/>
  <c r="O7" i="26" s="1"/>
  <c r="I38" i="9"/>
  <c r="I146"/>
  <c r="L44"/>
  <c r="L52"/>
  <c r="R11" i="26" s="1"/>
  <c r="L56" i="9"/>
  <c r="R15" i="26" s="1"/>
  <c r="L38" i="9"/>
  <c r="L48"/>
  <c r="R7" i="26" s="1"/>
  <c r="L146" i="9"/>
  <c r="F63" i="8"/>
  <c r="F67"/>
  <c r="F71"/>
  <c r="H43"/>
  <c r="G52"/>
  <c r="K10" i="26"/>
  <c r="K9"/>
  <c r="Y50" i="9"/>
  <c r="AE9" i="26" s="1"/>
  <c r="N56" i="9"/>
  <c r="T15" i="26" s="1"/>
  <c r="N44" i="9"/>
  <c r="N38"/>
  <c r="N52"/>
  <c r="T11" i="26" s="1"/>
  <c r="N48" i="9"/>
  <c r="T7" i="26" s="1"/>
  <c r="N146" i="9"/>
  <c r="J52"/>
  <c r="P11" i="26" s="1"/>
  <c r="J44" i="9"/>
  <c r="J48"/>
  <c r="P7" i="26" s="1"/>
  <c r="J38" i="9"/>
  <c r="J56"/>
  <c r="P15" i="26" s="1"/>
  <c r="J146" i="9"/>
  <c r="F70" i="8"/>
  <c r="F66"/>
  <c r="F62"/>
  <c r="W52" i="9"/>
  <c r="AC11" i="26" s="1"/>
  <c r="W38" i="9"/>
  <c r="W44"/>
  <c r="W56"/>
  <c r="AC15" i="26" s="1"/>
  <c r="W48" i="9"/>
  <c r="AC7" i="26" s="1"/>
  <c r="W146" i="9"/>
  <c r="K8" i="26"/>
  <c r="Y49" i="9"/>
  <c r="AE8" i="26" s="1"/>
  <c r="AA49" i="9"/>
  <c r="H56"/>
  <c r="N15" i="26" s="1"/>
  <c r="H38" i="9"/>
  <c r="H48"/>
  <c r="N7" i="26" s="1"/>
  <c r="H52" i="9"/>
  <c r="N11" i="26" s="1"/>
  <c r="H44" i="9"/>
  <c r="H146"/>
  <c r="K14" i="26"/>
  <c r="Y55" i="9"/>
  <c r="AE14" i="26" s="1"/>
  <c r="K5"/>
  <c r="Q52" i="9"/>
  <c r="W11" i="26" s="1"/>
  <c r="Q48" i="9"/>
  <c r="W7" i="26" s="1"/>
  <c r="Q38" i="9"/>
  <c r="Q44"/>
  <c r="Q56"/>
  <c r="W15" i="26" s="1"/>
  <c r="Q146" i="9"/>
  <c r="V38"/>
  <c r="V48"/>
  <c r="AB7" i="26" s="1"/>
  <c r="V56" i="9"/>
  <c r="AB15" i="26" s="1"/>
  <c r="V52" i="9"/>
  <c r="AB11" i="26" s="1"/>
  <c r="V44" i="9"/>
  <c r="V146"/>
  <c r="K52"/>
  <c r="Q11" i="26" s="1"/>
  <c r="K48" i="9"/>
  <c r="Q7" i="26" s="1"/>
  <c r="K56" i="9"/>
  <c r="Q15" i="26" s="1"/>
  <c r="K44" i="9"/>
  <c r="K38"/>
  <c r="K146"/>
  <c r="T48"/>
  <c r="Z7" i="26" s="1"/>
  <c r="T38" i="9"/>
  <c r="T56"/>
  <c r="Z15" i="26" s="1"/>
  <c r="T44" i="9"/>
  <c r="T52"/>
  <c r="Z11" i="26" s="1"/>
  <c r="T146" i="9"/>
  <c r="P48"/>
  <c r="V7" i="26" s="1"/>
  <c r="P56" i="9"/>
  <c r="V15" i="26" s="1"/>
  <c r="P44" i="9"/>
  <c r="P38"/>
  <c r="P52"/>
  <c r="V11" i="26" s="1"/>
  <c r="P146" i="9"/>
  <c r="O38"/>
  <c r="O52"/>
  <c r="U11" i="26" s="1"/>
  <c r="O56" i="9"/>
  <c r="U15" i="26" s="1"/>
  <c r="O48" i="9"/>
  <c r="U7" i="26" s="1"/>
  <c r="O44" i="9"/>
  <c r="O146"/>
  <c r="H41" i="8"/>
  <c r="AA34" i="9"/>
  <c r="G42" i="8"/>
  <c r="G51" s="1"/>
  <c r="E76" l="1"/>
  <c r="E110"/>
  <c r="E147" s="1"/>
  <c r="E87"/>
  <c r="E108"/>
  <c r="E145" s="1"/>
  <c r="E107"/>
  <c r="E90"/>
  <c r="E127" s="1"/>
  <c r="E115"/>
  <c r="E97"/>
  <c r="E111"/>
  <c r="E112"/>
  <c r="E149" s="1"/>
  <c r="E94"/>
  <c r="E131" s="1"/>
  <c r="E99"/>
  <c r="E101"/>
  <c r="E91"/>
  <c r="E128" s="1"/>
  <c r="K17" i="26"/>
  <c r="E98" i="8"/>
  <c r="E135" s="1"/>
  <c r="E93"/>
  <c r="E103"/>
  <c r="E140" s="1"/>
  <c r="E106"/>
  <c r="E143" s="1"/>
  <c r="E85"/>
  <c r="E102"/>
  <c r="E139" s="1"/>
  <c r="E96"/>
  <c r="E86"/>
  <c r="E123" s="1"/>
  <c r="E104"/>
  <c r="E89"/>
  <c r="E95"/>
  <c r="E132" s="1"/>
  <c r="E109"/>
  <c r="E146" s="1"/>
  <c r="E78"/>
  <c r="E113"/>
  <c r="E84"/>
  <c r="E121" s="1"/>
  <c r="E88"/>
  <c r="E125" s="1"/>
  <c r="E105"/>
  <c r="E142" s="1"/>
  <c r="E114"/>
  <c r="E151" s="1"/>
  <c r="E92"/>
  <c r="E129" s="1"/>
  <c r="E100"/>
  <c r="E137" s="1"/>
  <c r="Y51" i="9"/>
  <c r="AE10" i="26" s="1"/>
  <c r="H42" i="8"/>
  <c r="AA45" i="9"/>
  <c r="Y46"/>
  <c r="AE5" i="26" s="1"/>
  <c r="AA51" i="9"/>
  <c r="U22" i="8"/>
  <c r="T151" i="9"/>
  <c r="V151"/>
  <c r="W22" i="8"/>
  <c r="Q59" i="9"/>
  <c r="W3" i="26"/>
  <c r="Q75" i="9"/>
  <c r="Q77"/>
  <c r="Q83"/>
  <c r="Q79"/>
  <c r="Q96"/>
  <c r="Q74"/>
  <c r="Q90"/>
  <c r="Q65"/>
  <c r="Q102" s="1"/>
  <c r="Q84"/>
  <c r="Q80"/>
  <c r="Q86"/>
  <c r="Q67"/>
  <c r="Q104" s="1"/>
  <c r="Q66"/>
  <c r="Q72"/>
  <c r="Q95"/>
  <c r="Q93"/>
  <c r="Q130" s="1"/>
  <c r="Q85"/>
  <c r="Q122" s="1"/>
  <c r="Q92"/>
  <c r="Q71"/>
  <c r="Q89"/>
  <c r="Q126" s="1"/>
  <c r="Q87"/>
  <c r="Q69"/>
  <c r="Q94"/>
  <c r="Q78"/>
  <c r="Q115" s="1"/>
  <c r="Q81"/>
  <c r="Q118" s="1"/>
  <c r="Q73"/>
  <c r="Q110" s="1"/>
  <c r="Q76"/>
  <c r="Q70"/>
  <c r="Q107" s="1"/>
  <c r="Q68"/>
  <c r="Q88"/>
  <c r="Q82"/>
  <c r="Q91"/>
  <c r="J90"/>
  <c r="J84"/>
  <c r="J82"/>
  <c r="J67"/>
  <c r="J81"/>
  <c r="J72"/>
  <c r="J66"/>
  <c r="J71"/>
  <c r="J108" s="1"/>
  <c r="J59"/>
  <c r="J77"/>
  <c r="J69"/>
  <c r="P3" i="26"/>
  <c r="J92" i="9"/>
  <c r="J76"/>
  <c r="J80"/>
  <c r="J79"/>
  <c r="J94"/>
  <c r="J73"/>
  <c r="J110" s="1"/>
  <c r="J91"/>
  <c r="J78"/>
  <c r="J115" s="1"/>
  <c r="J89"/>
  <c r="J85"/>
  <c r="J122" s="1"/>
  <c r="J96"/>
  <c r="J95"/>
  <c r="J132" s="1"/>
  <c r="J93"/>
  <c r="J130" s="1"/>
  <c r="J86"/>
  <c r="J123" s="1"/>
  <c r="J87"/>
  <c r="J124" s="1"/>
  <c r="J74"/>
  <c r="J111" s="1"/>
  <c r="J70"/>
  <c r="J68"/>
  <c r="J65"/>
  <c r="J102" s="1"/>
  <c r="J83"/>
  <c r="J75"/>
  <c r="J88"/>
  <c r="H51" i="8"/>
  <c r="I42"/>
  <c r="S151" i="9"/>
  <c r="T22" i="8"/>
  <c r="L20" i="26"/>
  <c r="AA146" i="9"/>
  <c r="E151"/>
  <c r="F22" i="8"/>
  <c r="X83" i="9"/>
  <c r="X66"/>
  <c r="X89"/>
  <c r="X88"/>
  <c r="X85"/>
  <c r="X65"/>
  <c r="X102" s="1"/>
  <c r="X79"/>
  <c r="X86"/>
  <c r="X94"/>
  <c r="X96"/>
  <c r="X69"/>
  <c r="X74"/>
  <c r="X82"/>
  <c r="X76"/>
  <c r="X68"/>
  <c r="X80"/>
  <c r="X90"/>
  <c r="X75"/>
  <c r="X91"/>
  <c r="X67"/>
  <c r="X77"/>
  <c r="X59"/>
  <c r="X93"/>
  <c r="X70"/>
  <c r="X87"/>
  <c r="X81"/>
  <c r="X71"/>
  <c r="X78"/>
  <c r="X84"/>
  <c r="X121" s="1"/>
  <c r="X73"/>
  <c r="X110" s="1"/>
  <c r="X72"/>
  <c r="X109" s="1"/>
  <c r="X92"/>
  <c r="X95"/>
  <c r="X132" s="1"/>
  <c r="AD3" i="26"/>
  <c r="H59" i="9"/>
  <c r="H68"/>
  <c r="H85"/>
  <c r="H89"/>
  <c r="H75"/>
  <c r="H81"/>
  <c r="H73"/>
  <c r="H77"/>
  <c r="H93"/>
  <c r="H74"/>
  <c r="H80"/>
  <c r="H91"/>
  <c r="H94"/>
  <c r="H96"/>
  <c r="H72"/>
  <c r="H76"/>
  <c r="H113" s="1"/>
  <c r="H84"/>
  <c r="H79"/>
  <c r="H87"/>
  <c r="H88"/>
  <c r="H95"/>
  <c r="H132" s="1"/>
  <c r="H92"/>
  <c r="H66"/>
  <c r="H70"/>
  <c r="H90"/>
  <c r="H78"/>
  <c r="H67"/>
  <c r="H104" s="1"/>
  <c r="H69"/>
  <c r="H65"/>
  <c r="H102" s="1"/>
  <c r="H86"/>
  <c r="H123" s="1"/>
  <c r="N3" i="26"/>
  <c r="H83" i="9"/>
  <c r="H82"/>
  <c r="H71"/>
  <c r="W151"/>
  <c r="X22" i="8"/>
  <c r="L26" i="26"/>
  <c r="M22" i="8"/>
  <c r="L151" i="9"/>
  <c r="L28" i="26"/>
  <c r="G151" i="9"/>
  <c r="H22" i="8"/>
  <c r="V22"/>
  <c r="U151" i="9"/>
  <c r="H50" i="8"/>
  <c r="I41"/>
  <c r="O59" i="9"/>
  <c r="O89"/>
  <c r="O126" s="1"/>
  <c r="O96"/>
  <c r="O133" s="1"/>
  <c r="O68"/>
  <c r="O83"/>
  <c r="O65"/>
  <c r="O102" s="1"/>
  <c r="O94"/>
  <c r="O79"/>
  <c r="O78"/>
  <c r="O71"/>
  <c r="O108" s="1"/>
  <c r="O69"/>
  <c r="O106" s="1"/>
  <c r="O90"/>
  <c r="O92"/>
  <c r="O80"/>
  <c r="O117" s="1"/>
  <c r="O86"/>
  <c r="U3" i="26"/>
  <c r="O88" i="9"/>
  <c r="O93"/>
  <c r="O130" s="1"/>
  <c r="O70"/>
  <c r="O107" s="1"/>
  <c r="O95"/>
  <c r="O81"/>
  <c r="O82"/>
  <c r="O119" s="1"/>
  <c r="O77"/>
  <c r="O87"/>
  <c r="O75"/>
  <c r="O85"/>
  <c r="O76"/>
  <c r="O113" s="1"/>
  <c r="O67"/>
  <c r="O73"/>
  <c r="O72"/>
  <c r="O109" s="1"/>
  <c r="O91"/>
  <c r="O128" s="1"/>
  <c r="O66"/>
  <c r="O74"/>
  <c r="O111" s="1"/>
  <c r="O84"/>
  <c r="O121" s="1"/>
  <c r="P59"/>
  <c r="P87"/>
  <c r="P65"/>
  <c r="P102" s="1"/>
  <c r="P84"/>
  <c r="P121" s="1"/>
  <c r="P67"/>
  <c r="P104" s="1"/>
  <c r="P66"/>
  <c r="V3" i="26"/>
  <c r="P82" i="9"/>
  <c r="P119" s="1"/>
  <c r="P69"/>
  <c r="P106" s="1"/>
  <c r="P93"/>
  <c r="P75"/>
  <c r="P92"/>
  <c r="P129" s="1"/>
  <c r="P91"/>
  <c r="P128" s="1"/>
  <c r="P72"/>
  <c r="P86"/>
  <c r="P73"/>
  <c r="P110" s="1"/>
  <c r="P78"/>
  <c r="P115" s="1"/>
  <c r="P80"/>
  <c r="P79"/>
  <c r="P76"/>
  <c r="P113" s="1"/>
  <c r="P94"/>
  <c r="P131" s="1"/>
  <c r="P95"/>
  <c r="P81"/>
  <c r="P118" s="1"/>
  <c r="P74"/>
  <c r="P111" s="1"/>
  <c r="P88"/>
  <c r="P125" s="1"/>
  <c r="P83"/>
  <c r="P90"/>
  <c r="P85"/>
  <c r="P122" s="1"/>
  <c r="P70"/>
  <c r="P107" s="1"/>
  <c r="P77"/>
  <c r="P68"/>
  <c r="P89"/>
  <c r="P126" s="1"/>
  <c r="P96"/>
  <c r="P133" s="1"/>
  <c r="P71"/>
  <c r="V59"/>
  <c r="V83"/>
  <c r="V120" s="1"/>
  <c r="V77"/>
  <c r="V68"/>
  <c r="V87"/>
  <c r="V76"/>
  <c r="V113" s="1"/>
  <c r="V91"/>
  <c r="V128" s="1"/>
  <c r="V69"/>
  <c r="V106" s="1"/>
  <c r="V92"/>
  <c r="AB3" i="26"/>
  <c r="V67" i="9"/>
  <c r="V104" s="1"/>
  <c r="V72"/>
  <c r="V66"/>
  <c r="V84"/>
  <c r="V121" s="1"/>
  <c r="V74"/>
  <c r="V111" s="1"/>
  <c r="V86"/>
  <c r="V96"/>
  <c r="V78"/>
  <c r="V115" s="1"/>
  <c r="V75"/>
  <c r="V112" s="1"/>
  <c r="V81"/>
  <c r="V65"/>
  <c r="V102" s="1"/>
  <c r="V93"/>
  <c r="V130" s="1"/>
  <c r="V71"/>
  <c r="V108" s="1"/>
  <c r="V85"/>
  <c r="V89"/>
  <c r="V80"/>
  <c r="V88"/>
  <c r="V125" s="1"/>
  <c r="V90"/>
  <c r="V70"/>
  <c r="V107" s="1"/>
  <c r="V79"/>
  <c r="V116" s="1"/>
  <c r="V95"/>
  <c r="V82"/>
  <c r="V119" s="1"/>
  <c r="V73"/>
  <c r="V110" s="1"/>
  <c r="V94"/>
  <c r="V131" s="1"/>
  <c r="L18" i="26"/>
  <c r="L23"/>
  <c r="J22" i="8"/>
  <c r="I151" i="9"/>
  <c r="I72"/>
  <c r="I77"/>
  <c r="I87"/>
  <c r="I68"/>
  <c r="I75"/>
  <c r="I65"/>
  <c r="I102" s="1"/>
  <c r="I84"/>
  <c r="I80"/>
  <c r="I59"/>
  <c r="I66"/>
  <c r="I103" s="1"/>
  <c r="I89"/>
  <c r="I94"/>
  <c r="I74"/>
  <c r="I82"/>
  <c r="I76"/>
  <c r="O3" i="26"/>
  <c r="I71" i="9"/>
  <c r="I78"/>
  <c r="I115" s="1"/>
  <c r="I95"/>
  <c r="I90"/>
  <c r="I91"/>
  <c r="I96"/>
  <c r="I81"/>
  <c r="I73"/>
  <c r="I110" s="1"/>
  <c r="I70"/>
  <c r="I83"/>
  <c r="I120" s="1"/>
  <c r="I93"/>
  <c r="I88"/>
  <c r="I86"/>
  <c r="I69"/>
  <c r="I85"/>
  <c r="I122" s="1"/>
  <c r="I79"/>
  <c r="I67"/>
  <c r="I92"/>
  <c r="G62" i="8"/>
  <c r="M18" i="26" s="1"/>
  <c r="G66" i="8"/>
  <c r="M22" i="26" s="1"/>
  <c r="G70" i="8"/>
  <c r="M26" i="26" s="1"/>
  <c r="S72" i="9"/>
  <c r="S96"/>
  <c r="S68"/>
  <c r="S65"/>
  <c r="S102" s="1"/>
  <c r="S83"/>
  <c r="S91"/>
  <c r="S74"/>
  <c r="S76"/>
  <c r="S95"/>
  <c r="S59"/>
  <c r="S81"/>
  <c r="S79"/>
  <c r="S67"/>
  <c r="S71"/>
  <c r="S77"/>
  <c r="S114" s="1"/>
  <c r="S85"/>
  <c r="S82"/>
  <c r="S75"/>
  <c r="S69"/>
  <c r="S106" s="1"/>
  <c r="S89"/>
  <c r="S94"/>
  <c r="S78"/>
  <c r="S92"/>
  <c r="S73"/>
  <c r="S66"/>
  <c r="S86"/>
  <c r="S88"/>
  <c r="S70"/>
  <c r="S87"/>
  <c r="S93"/>
  <c r="S84"/>
  <c r="Y3" i="26"/>
  <c r="S80" i="9"/>
  <c r="S90"/>
  <c r="L30" i="26"/>
  <c r="K11"/>
  <c r="AA52" i="9"/>
  <c r="Y52"/>
  <c r="AE11" i="26" s="1"/>
  <c r="G59" i="9"/>
  <c r="G84"/>
  <c r="G121" s="1"/>
  <c r="G88"/>
  <c r="G82"/>
  <c r="G72"/>
  <c r="G75"/>
  <c r="G67"/>
  <c r="G83"/>
  <c r="G120" s="1"/>
  <c r="G66"/>
  <c r="G69"/>
  <c r="G65"/>
  <c r="G102" s="1"/>
  <c r="G93"/>
  <c r="G96"/>
  <c r="G70"/>
  <c r="G107" s="1"/>
  <c r="G80"/>
  <c r="G87"/>
  <c r="G68"/>
  <c r="G74"/>
  <c r="G111" s="1"/>
  <c r="G95"/>
  <c r="G81"/>
  <c r="G92"/>
  <c r="G79"/>
  <c r="G116" s="1"/>
  <c r="G91"/>
  <c r="G89"/>
  <c r="G76"/>
  <c r="G85"/>
  <c r="G122" s="1"/>
  <c r="G71"/>
  <c r="G86"/>
  <c r="G90"/>
  <c r="G94"/>
  <c r="G131" s="1"/>
  <c r="G78"/>
  <c r="G73"/>
  <c r="M3" i="26"/>
  <c r="G77" i="9"/>
  <c r="S22" i="8"/>
  <c r="R151" i="9"/>
  <c r="U75"/>
  <c r="U77"/>
  <c r="U92"/>
  <c r="U95"/>
  <c r="U83"/>
  <c r="U66"/>
  <c r="U103" s="1"/>
  <c r="U70"/>
  <c r="U67"/>
  <c r="U59"/>
  <c r="U85"/>
  <c r="U122" s="1"/>
  <c r="U84"/>
  <c r="U87"/>
  <c r="U78"/>
  <c r="U80"/>
  <c r="U91"/>
  <c r="U72"/>
  <c r="U68"/>
  <c r="U76"/>
  <c r="U90"/>
  <c r="U88"/>
  <c r="U125" s="1"/>
  <c r="U96"/>
  <c r="U94"/>
  <c r="U131" s="1"/>
  <c r="U93"/>
  <c r="U130" s="1"/>
  <c r="U82"/>
  <c r="U79"/>
  <c r="U116" s="1"/>
  <c r="U71"/>
  <c r="U108" s="1"/>
  <c r="U65"/>
  <c r="U102" s="1"/>
  <c r="AA3" i="26"/>
  <c r="U81" i="9"/>
  <c r="U69"/>
  <c r="U73"/>
  <c r="U110" s="1"/>
  <c r="U74"/>
  <c r="U86"/>
  <c r="U89"/>
  <c r="U126" s="1"/>
  <c r="Y53"/>
  <c r="AE12" i="26" s="1"/>
  <c r="X151" i="9"/>
  <c r="AA46"/>
  <c r="AA50"/>
  <c r="AA54"/>
  <c r="AA47"/>
  <c r="P22" i="8"/>
  <c r="O151" i="9"/>
  <c r="K59"/>
  <c r="K72"/>
  <c r="K71"/>
  <c r="K65"/>
  <c r="K102" s="1"/>
  <c r="K95"/>
  <c r="K78"/>
  <c r="K67"/>
  <c r="K83"/>
  <c r="K85"/>
  <c r="K87"/>
  <c r="K96"/>
  <c r="K75"/>
  <c r="K112" s="1"/>
  <c r="K80"/>
  <c r="K73"/>
  <c r="K110" s="1"/>
  <c r="K68"/>
  <c r="K105" s="1"/>
  <c r="K81"/>
  <c r="K118" s="1"/>
  <c r="K93"/>
  <c r="K66"/>
  <c r="K88"/>
  <c r="K86"/>
  <c r="K123" s="1"/>
  <c r="K92"/>
  <c r="K129" s="1"/>
  <c r="Q3" i="26"/>
  <c r="K70" i="9"/>
  <c r="K89"/>
  <c r="K94"/>
  <c r="K131" s="1"/>
  <c r="K69"/>
  <c r="K82"/>
  <c r="K76"/>
  <c r="K113" s="1"/>
  <c r="K90"/>
  <c r="K77"/>
  <c r="K79"/>
  <c r="K116" s="1"/>
  <c r="K84"/>
  <c r="K121" s="1"/>
  <c r="K74"/>
  <c r="K111" s="1"/>
  <c r="K91"/>
  <c r="J151"/>
  <c r="K22" i="8"/>
  <c r="L27" i="26"/>
  <c r="L79" i="9"/>
  <c r="L81"/>
  <c r="L118" s="1"/>
  <c r="L70"/>
  <c r="L107" s="1"/>
  <c r="L95"/>
  <c r="L76"/>
  <c r="L88"/>
  <c r="L125" s="1"/>
  <c r="L74"/>
  <c r="L90"/>
  <c r="R3" i="26"/>
  <c r="L96" i="9"/>
  <c r="L133" s="1"/>
  <c r="L85"/>
  <c r="L87"/>
  <c r="L77"/>
  <c r="L114" s="1"/>
  <c r="L86"/>
  <c r="L123" s="1"/>
  <c r="L72"/>
  <c r="L109" s="1"/>
  <c r="L92"/>
  <c r="L59"/>
  <c r="L67"/>
  <c r="L83"/>
  <c r="L94"/>
  <c r="L68"/>
  <c r="L73"/>
  <c r="L110" s="1"/>
  <c r="L89"/>
  <c r="L71"/>
  <c r="L69"/>
  <c r="L106" s="1"/>
  <c r="L84"/>
  <c r="L121" s="1"/>
  <c r="L65"/>
  <c r="L102" s="1"/>
  <c r="L80"/>
  <c r="L117" s="1"/>
  <c r="L75"/>
  <c r="L93"/>
  <c r="L130" s="1"/>
  <c r="L82"/>
  <c r="L91"/>
  <c r="L128" s="1"/>
  <c r="L78"/>
  <c r="L115" s="1"/>
  <c r="L66"/>
  <c r="L103" s="1"/>
  <c r="E87"/>
  <c r="E124" s="1"/>
  <c r="E74"/>
  <c r="E85"/>
  <c r="E88"/>
  <c r="E125" s="1"/>
  <c r="E70"/>
  <c r="E107" s="1"/>
  <c r="E93"/>
  <c r="E69"/>
  <c r="E89"/>
  <c r="E126" s="1"/>
  <c r="E95"/>
  <c r="E132" s="1"/>
  <c r="E79"/>
  <c r="E94"/>
  <c r="E76"/>
  <c r="E113" s="1"/>
  <c r="E91"/>
  <c r="E128" s="1"/>
  <c r="E72"/>
  <c r="E96"/>
  <c r="E81"/>
  <c r="E118" s="1"/>
  <c r="E92"/>
  <c r="E129" s="1"/>
  <c r="E77"/>
  <c r="E80"/>
  <c r="Y44"/>
  <c r="E66"/>
  <c r="E103" s="1"/>
  <c r="E65"/>
  <c r="E102" s="1"/>
  <c r="E59"/>
  <c r="E73"/>
  <c r="E110" s="1"/>
  <c r="AA44"/>
  <c r="E86"/>
  <c r="E123" s="1"/>
  <c r="E90"/>
  <c r="E82"/>
  <c r="E119" s="1"/>
  <c r="E78"/>
  <c r="E115" s="1"/>
  <c r="E75"/>
  <c r="E112" s="1"/>
  <c r="K3" i="26"/>
  <c r="E68" i="9"/>
  <c r="E105" s="1"/>
  <c r="E71"/>
  <c r="E108" s="1"/>
  <c r="E84"/>
  <c r="E67"/>
  <c r="E83"/>
  <c r="E120" s="1"/>
  <c r="H52" i="8"/>
  <c r="I43"/>
  <c r="M59" i="9"/>
  <c r="M94"/>
  <c r="M92"/>
  <c r="M129" s="1"/>
  <c r="M91"/>
  <c r="M77"/>
  <c r="M95"/>
  <c r="M132" s="1"/>
  <c r="M88"/>
  <c r="M74"/>
  <c r="M71"/>
  <c r="M89"/>
  <c r="M126" s="1"/>
  <c r="S3" i="26"/>
  <c r="M66" i="9"/>
  <c r="M103" s="1"/>
  <c r="M72"/>
  <c r="M109" s="1"/>
  <c r="M79"/>
  <c r="M116" s="1"/>
  <c r="M76"/>
  <c r="M113" s="1"/>
  <c r="M78"/>
  <c r="M115" s="1"/>
  <c r="M69"/>
  <c r="M93"/>
  <c r="M130" s="1"/>
  <c r="M67"/>
  <c r="M104" s="1"/>
  <c r="M84"/>
  <c r="M121" s="1"/>
  <c r="M86"/>
  <c r="M96"/>
  <c r="M133" s="1"/>
  <c r="M85"/>
  <c r="M122" s="1"/>
  <c r="M70"/>
  <c r="M107" s="1"/>
  <c r="M83"/>
  <c r="M73"/>
  <c r="M110" s="1"/>
  <c r="M87"/>
  <c r="M124" s="1"/>
  <c r="M90"/>
  <c r="M80"/>
  <c r="M81"/>
  <c r="M118" s="1"/>
  <c r="M68"/>
  <c r="M105" s="1"/>
  <c r="M75"/>
  <c r="M112" s="1"/>
  <c r="M65"/>
  <c r="M102" s="1"/>
  <c r="M82"/>
  <c r="M119" s="1"/>
  <c r="G67" i="8"/>
  <c r="M23" i="26" s="1"/>
  <c r="G63" i="8"/>
  <c r="M19" i="26" s="1"/>
  <c r="G71" i="8"/>
  <c r="M27" i="26" s="1"/>
  <c r="Q22" i="8"/>
  <c r="P151" i="9"/>
  <c r="T71"/>
  <c r="T82"/>
  <c r="T94"/>
  <c r="T131" s="1"/>
  <c r="T83"/>
  <c r="T120" s="1"/>
  <c r="T74"/>
  <c r="T69"/>
  <c r="T79"/>
  <c r="T81"/>
  <c r="T118" s="1"/>
  <c r="T80"/>
  <c r="T77"/>
  <c r="T90"/>
  <c r="T127" s="1"/>
  <c r="T86"/>
  <c r="T88"/>
  <c r="T65"/>
  <c r="T102" s="1"/>
  <c r="T73"/>
  <c r="T110" s="1"/>
  <c r="T87"/>
  <c r="T124" s="1"/>
  <c r="T70"/>
  <c r="T107" s="1"/>
  <c r="T67"/>
  <c r="T78"/>
  <c r="T115" s="1"/>
  <c r="T72"/>
  <c r="T109" s="1"/>
  <c r="T84"/>
  <c r="Z3" i="26"/>
  <c r="T66" i="9"/>
  <c r="T103" s="1"/>
  <c r="T76"/>
  <c r="T113" s="1"/>
  <c r="T75"/>
  <c r="T112" s="1"/>
  <c r="T96"/>
  <c r="T92"/>
  <c r="T129" s="1"/>
  <c r="T89"/>
  <c r="T126" s="1"/>
  <c r="T59"/>
  <c r="T68"/>
  <c r="T105" s="1"/>
  <c r="T85"/>
  <c r="T122" s="1"/>
  <c r="T91"/>
  <c r="T95"/>
  <c r="T93"/>
  <c r="K151"/>
  <c r="L22" i="8"/>
  <c r="Q151" i="9"/>
  <c r="R22" i="8"/>
  <c r="I22"/>
  <c r="H151" i="9"/>
  <c r="W59"/>
  <c r="W73"/>
  <c r="W82"/>
  <c r="W119" s="1"/>
  <c r="W66"/>
  <c r="W103" s="1"/>
  <c r="W89"/>
  <c r="W126" s="1"/>
  <c r="W95"/>
  <c r="W86"/>
  <c r="W123" s="1"/>
  <c r="AC3" i="26"/>
  <c r="W81" i="9"/>
  <c r="W118" s="1"/>
  <c r="W68"/>
  <c r="W87"/>
  <c r="W124" s="1"/>
  <c r="W71"/>
  <c r="W108" s="1"/>
  <c r="W91"/>
  <c r="W80"/>
  <c r="W92"/>
  <c r="W129" s="1"/>
  <c r="W96"/>
  <c r="W133" s="1"/>
  <c r="W79"/>
  <c r="W75"/>
  <c r="W90"/>
  <c r="W127" s="1"/>
  <c r="W72"/>
  <c r="W109" s="1"/>
  <c r="W69"/>
  <c r="W106" s="1"/>
  <c r="W70"/>
  <c r="W67"/>
  <c r="W104" s="1"/>
  <c r="W93"/>
  <c r="W83"/>
  <c r="W88"/>
  <c r="W76"/>
  <c r="W113" s="1"/>
  <c r="W77"/>
  <c r="W74"/>
  <c r="W111" s="1"/>
  <c r="W65"/>
  <c r="W102" s="1"/>
  <c r="W78"/>
  <c r="W115" s="1"/>
  <c r="W84"/>
  <c r="W121" s="1"/>
  <c r="W85"/>
  <c r="W94"/>
  <c r="L22" i="26"/>
  <c r="O22" i="8"/>
  <c r="N151" i="9"/>
  <c r="N68"/>
  <c r="N93"/>
  <c r="N130" s="1"/>
  <c r="N71"/>
  <c r="N108" s="1"/>
  <c r="N82"/>
  <c r="N75"/>
  <c r="N67"/>
  <c r="N95"/>
  <c r="N92"/>
  <c r="N91"/>
  <c r="N94"/>
  <c r="N131" s="1"/>
  <c r="N96"/>
  <c r="N133" s="1"/>
  <c r="N59"/>
  <c r="N65"/>
  <c r="N102" s="1"/>
  <c r="N72"/>
  <c r="N109" s="1"/>
  <c r="N81"/>
  <c r="N88"/>
  <c r="N66"/>
  <c r="N103" s="1"/>
  <c r="N78"/>
  <c r="N85"/>
  <c r="N87"/>
  <c r="N86"/>
  <c r="N77"/>
  <c r="N83"/>
  <c r="N120" s="1"/>
  <c r="N74"/>
  <c r="N69"/>
  <c r="N106" s="1"/>
  <c r="N73"/>
  <c r="N110" s="1"/>
  <c r="T3" i="26"/>
  <c r="N79" i="9"/>
  <c r="N76"/>
  <c r="N113" s="1"/>
  <c r="N89"/>
  <c r="N126" s="1"/>
  <c r="N80"/>
  <c r="N117" s="1"/>
  <c r="N70"/>
  <c r="N84"/>
  <c r="N90"/>
  <c r="N127" s="1"/>
  <c r="G64" i="8"/>
  <c r="M20" i="26" s="1"/>
  <c r="G68" i="8"/>
  <c r="M24" i="26" s="1"/>
  <c r="G72" i="8"/>
  <c r="M28" i="26" s="1"/>
  <c r="G74" i="8"/>
  <c r="M30" i="26" s="1"/>
  <c r="L19"/>
  <c r="F151" i="9"/>
  <c r="G22" i="8"/>
  <c r="F69" i="9"/>
  <c r="F96"/>
  <c r="F84"/>
  <c r="F87"/>
  <c r="F72"/>
  <c r="F82"/>
  <c r="F71"/>
  <c r="F80"/>
  <c r="F70"/>
  <c r="F107" s="1"/>
  <c r="L3" i="26"/>
  <c r="F95" i="9"/>
  <c r="F79"/>
  <c r="F85"/>
  <c r="F74"/>
  <c r="F68"/>
  <c r="F65"/>
  <c r="F102" s="1"/>
  <c r="F81"/>
  <c r="F66"/>
  <c r="F73"/>
  <c r="F93"/>
  <c r="F76"/>
  <c r="F113" s="1"/>
  <c r="F77"/>
  <c r="F94"/>
  <c r="F131" s="1"/>
  <c r="F90"/>
  <c r="F89"/>
  <c r="F126" s="1"/>
  <c r="F75"/>
  <c r="F112" s="1"/>
  <c r="F92"/>
  <c r="F129" s="1"/>
  <c r="F78"/>
  <c r="F67"/>
  <c r="F104" s="1"/>
  <c r="F86"/>
  <c r="F83"/>
  <c r="F91"/>
  <c r="F128" s="1"/>
  <c r="F59"/>
  <c r="F88"/>
  <c r="M151"/>
  <c r="N22" i="8"/>
  <c r="L24" i="26"/>
  <c r="Y48" i="9"/>
  <c r="AE7" i="26" s="1"/>
  <c r="AA48" i="9"/>
  <c r="K7" i="26"/>
  <c r="K15"/>
  <c r="Y56" i="9"/>
  <c r="AE15" i="26" s="1"/>
  <c r="R59" i="9"/>
  <c r="R88"/>
  <c r="R94"/>
  <c r="R73"/>
  <c r="R92"/>
  <c r="R75"/>
  <c r="R91"/>
  <c r="R65"/>
  <c r="R102" s="1"/>
  <c r="R85"/>
  <c r="R122" s="1"/>
  <c r="R84"/>
  <c r="R83"/>
  <c r="R68"/>
  <c r="R105" s="1"/>
  <c r="R81"/>
  <c r="X3" i="26"/>
  <c r="R69" i="9"/>
  <c r="R74"/>
  <c r="R111" s="1"/>
  <c r="R86"/>
  <c r="R123" s="1"/>
  <c r="R67"/>
  <c r="R71"/>
  <c r="R96"/>
  <c r="R90"/>
  <c r="R77"/>
  <c r="R95"/>
  <c r="R132" s="1"/>
  <c r="R89"/>
  <c r="R126" s="1"/>
  <c r="R82"/>
  <c r="R119" s="1"/>
  <c r="R70"/>
  <c r="R72"/>
  <c r="R109" s="1"/>
  <c r="R66"/>
  <c r="R103" s="1"/>
  <c r="R93"/>
  <c r="R130" s="1"/>
  <c r="R78"/>
  <c r="R115" s="1"/>
  <c r="R76"/>
  <c r="R80"/>
  <c r="R117" s="1"/>
  <c r="R79"/>
  <c r="R116" s="1"/>
  <c r="R87"/>
  <c r="AA55"/>
  <c r="AA38"/>
  <c r="AA53"/>
  <c r="Y54"/>
  <c r="AE13" i="26" s="1"/>
  <c r="E152" i="8" l="1"/>
  <c r="E117"/>
  <c r="E133"/>
  <c r="R133" i="9"/>
  <c r="K120"/>
  <c r="U106"/>
  <c r="U117"/>
  <c r="S107"/>
  <c r="R107"/>
  <c r="R114"/>
  <c r="R121"/>
  <c r="F115"/>
  <c r="F127"/>
  <c r="F124"/>
  <c r="N121"/>
  <c r="N123"/>
  <c r="N128"/>
  <c r="N112"/>
  <c r="N105"/>
  <c r="K106"/>
  <c r="K109"/>
  <c r="U119"/>
  <c r="G110"/>
  <c r="G130"/>
  <c r="S127"/>
  <c r="S130"/>
  <c r="S123"/>
  <c r="S115"/>
  <c r="S112"/>
  <c r="S108"/>
  <c r="I118"/>
  <c r="I132"/>
  <c r="I113"/>
  <c r="I126"/>
  <c r="I124"/>
  <c r="H103"/>
  <c r="H122"/>
  <c r="X114"/>
  <c r="X127"/>
  <c r="X119"/>
  <c r="X131"/>
  <c r="J133"/>
  <c r="J128"/>
  <c r="J117"/>
  <c r="J106"/>
  <c r="J119"/>
  <c r="Q119"/>
  <c r="Q113"/>
  <c r="Q131"/>
  <c r="Q108"/>
  <c r="Q123"/>
  <c r="Q127"/>
  <c r="E150" i="8"/>
  <c r="E126"/>
  <c r="E130"/>
  <c r="E138"/>
  <c r="E148"/>
  <c r="E144"/>
  <c r="R110" i="9"/>
  <c r="K126"/>
  <c r="U113"/>
  <c r="G114"/>
  <c r="G106"/>
  <c r="O114"/>
  <c r="H127"/>
  <c r="H131"/>
  <c r="E124" i="8"/>
  <c r="R129" i="9"/>
  <c r="F120"/>
  <c r="F110"/>
  <c r="F105"/>
  <c r="F108"/>
  <c r="K117"/>
  <c r="U121"/>
  <c r="G128"/>
  <c r="G104"/>
  <c r="G125"/>
  <c r="S117"/>
  <c r="S124"/>
  <c r="S103"/>
  <c r="S131"/>
  <c r="S119"/>
  <c r="S109"/>
  <c r="I129"/>
  <c r="I106"/>
  <c r="I133"/>
  <c r="I119"/>
  <c r="I114"/>
  <c r="V127"/>
  <c r="H108"/>
  <c r="H115"/>
  <c r="H129"/>
  <c r="H133"/>
  <c r="H111"/>
  <c r="H118"/>
  <c r="H105"/>
  <c r="X129"/>
  <c r="X115"/>
  <c r="X107"/>
  <c r="X104"/>
  <c r="X117"/>
  <c r="X111"/>
  <c r="X123"/>
  <c r="X125"/>
  <c r="Q125"/>
  <c r="E141" i="8"/>
  <c r="E122"/>
  <c r="E154" s="1"/>
  <c r="E155" s="1"/>
  <c r="E136"/>
  <c r="E134"/>
  <c r="Q27"/>
  <c r="Y88" i="9"/>
  <c r="Y93"/>
  <c r="Y84"/>
  <c r="Y121" s="1"/>
  <c r="Y89"/>
  <c r="Y79"/>
  <c r="Y67"/>
  <c r="Y75"/>
  <c r="Y112" s="1"/>
  <c r="AE3" i="26"/>
  <c r="Y59" i="9"/>
  <c r="C10" s="1"/>
  <c r="Y72"/>
  <c r="Y68"/>
  <c r="Y105" s="1"/>
  <c r="Y74"/>
  <c r="Y70"/>
  <c r="Y83"/>
  <c r="Y80"/>
  <c r="Y117" s="1"/>
  <c r="Y85"/>
  <c r="Y76"/>
  <c r="Y81"/>
  <c r="Y90"/>
  <c r="Y127" s="1"/>
  <c r="Y87"/>
  <c r="Y86"/>
  <c r="Y82"/>
  <c r="Y119" s="1"/>
  <c r="Y77"/>
  <c r="Y114" s="1"/>
  <c r="Y73"/>
  <c r="Y110" s="1"/>
  <c r="Y71"/>
  <c r="Y108" s="1"/>
  <c r="Y66"/>
  <c r="Y69"/>
  <c r="Y106" s="1"/>
  <c r="Y95"/>
  <c r="Y91"/>
  <c r="Y96"/>
  <c r="Y92"/>
  <c r="Y129" s="1"/>
  <c r="Y78"/>
  <c r="Y65"/>
  <c r="Y102" s="1"/>
  <c r="Y94"/>
  <c r="Y131" s="1"/>
  <c r="F27" i="8"/>
  <c r="F40"/>
  <c r="H71"/>
  <c r="N27" i="26" s="1"/>
  <c r="H63" i="8"/>
  <c r="H67"/>
  <c r="U27"/>
  <c r="H64"/>
  <c r="H68"/>
  <c r="H72"/>
  <c r="N28" i="26" s="1"/>
  <c r="H74" i="8"/>
  <c r="N30" i="26" s="1"/>
  <c r="J27" i="8"/>
  <c r="H66"/>
  <c r="H70"/>
  <c r="H62"/>
  <c r="N18" i="26" s="1"/>
  <c r="M27" i="8"/>
  <c r="O27"/>
  <c r="I52"/>
  <c r="J43"/>
  <c r="I50"/>
  <c r="J41"/>
  <c r="H27"/>
  <c r="X27"/>
  <c r="F132" i="9"/>
  <c r="U114"/>
  <c r="S132"/>
  <c r="V117"/>
  <c r="O122"/>
  <c r="Q132"/>
  <c r="Q120"/>
  <c r="F116"/>
  <c r="F117"/>
  <c r="N114"/>
  <c r="W130"/>
  <c r="T128"/>
  <c r="B59"/>
  <c r="L119"/>
  <c r="L126"/>
  <c r="L122"/>
  <c r="K127"/>
  <c r="K132"/>
  <c r="U127"/>
  <c r="U107"/>
  <c r="G115"/>
  <c r="G108"/>
  <c r="G132"/>
  <c r="S133"/>
  <c r="I130"/>
  <c r="V114"/>
  <c r="O131"/>
  <c r="H117"/>
  <c r="X122"/>
  <c r="J120"/>
  <c r="J104"/>
  <c r="Q116"/>
  <c r="R124"/>
  <c r="R104"/>
  <c r="R112"/>
  <c r="R125"/>
  <c r="F118"/>
  <c r="F122"/>
  <c r="F109"/>
  <c r="F106"/>
  <c r="N122"/>
  <c r="N118"/>
  <c r="N132"/>
  <c r="W122"/>
  <c r="W120"/>
  <c r="W116"/>
  <c r="W128"/>
  <c r="T132"/>
  <c r="T121"/>
  <c r="T125"/>
  <c r="T117"/>
  <c r="T111"/>
  <c r="T108"/>
  <c r="M127"/>
  <c r="M111"/>
  <c r="M128"/>
  <c r="E121"/>
  <c r="E114"/>
  <c r="E109"/>
  <c r="E116"/>
  <c r="E130"/>
  <c r="E111"/>
  <c r="L108"/>
  <c r="L131"/>
  <c r="L129"/>
  <c r="L124"/>
  <c r="L127"/>
  <c r="L132"/>
  <c r="K128"/>
  <c r="K114"/>
  <c r="K103"/>
  <c r="K124"/>
  <c r="K115"/>
  <c r="U111"/>
  <c r="U109"/>
  <c r="U124"/>
  <c r="U104"/>
  <c r="U132"/>
  <c r="G123"/>
  <c r="G126"/>
  <c r="G118"/>
  <c r="G124"/>
  <c r="G119"/>
  <c r="S121"/>
  <c r="S125"/>
  <c r="S129"/>
  <c r="S118"/>
  <c r="S111"/>
  <c r="S105"/>
  <c r="I116"/>
  <c r="I125"/>
  <c r="I127"/>
  <c r="I131"/>
  <c r="I117"/>
  <c r="I105"/>
  <c r="V122"/>
  <c r="V118"/>
  <c r="V123"/>
  <c r="V109"/>
  <c r="V105"/>
  <c r="P108"/>
  <c r="P114"/>
  <c r="P120"/>
  <c r="P132"/>
  <c r="P117"/>
  <c r="P109"/>
  <c r="P130"/>
  <c r="P103"/>
  <c r="P124"/>
  <c r="O103"/>
  <c r="O104"/>
  <c r="O124"/>
  <c r="O132"/>
  <c r="O127"/>
  <c r="O116"/>
  <c r="O105"/>
  <c r="H120"/>
  <c r="H106"/>
  <c r="H107"/>
  <c r="H125"/>
  <c r="H128"/>
  <c r="H114"/>
  <c r="H126"/>
  <c r="X118"/>
  <c r="X112"/>
  <c r="X113"/>
  <c r="X133"/>
  <c r="X103"/>
  <c r="J112"/>
  <c r="J107"/>
  <c r="J126"/>
  <c r="J131"/>
  <c r="J129"/>
  <c r="J118"/>
  <c r="J127"/>
  <c r="Q105"/>
  <c r="Q124"/>
  <c r="Q103"/>
  <c r="Q121"/>
  <c r="Q133"/>
  <c r="Q112"/>
  <c r="I27" i="8"/>
  <c r="K27"/>
  <c r="N27"/>
  <c r="G27"/>
  <c r="G40"/>
  <c r="L27"/>
  <c r="S27"/>
  <c r="I51"/>
  <c r="J42"/>
  <c r="R27"/>
  <c r="P27"/>
  <c r="V27"/>
  <c r="T27"/>
  <c r="W27"/>
  <c r="F121" i="9"/>
  <c r="T116"/>
  <c r="M131"/>
  <c r="L104"/>
  <c r="G112"/>
  <c r="S104"/>
  <c r="S120"/>
  <c r="H116"/>
  <c r="J103"/>
  <c r="R127"/>
  <c r="R118"/>
  <c r="F130"/>
  <c r="N115"/>
  <c r="N104"/>
  <c r="W114"/>
  <c r="T123"/>
  <c r="M125"/>
  <c r="L120"/>
  <c r="L111"/>
  <c r="K130"/>
  <c r="K122"/>
  <c r="U128"/>
  <c r="U129"/>
  <c r="G117"/>
  <c r="S128"/>
  <c r="I121"/>
  <c r="V132"/>
  <c r="O123"/>
  <c r="H124"/>
  <c r="H109"/>
  <c r="H110"/>
  <c r="X124"/>
  <c r="X120"/>
  <c r="J116"/>
  <c r="Q128"/>
  <c r="R113"/>
  <c r="R108"/>
  <c r="R106"/>
  <c r="R120"/>
  <c r="R128"/>
  <c r="R131"/>
  <c r="F125"/>
  <c r="F123"/>
  <c r="F114"/>
  <c r="F103"/>
  <c r="F111"/>
  <c r="F119"/>
  <c r="F133"/>
  <c r="N107"/>
  <c r="N116"/>
  <c r="N111"/>
  <c r="N124"/>
  <c r="N125"/>
  <c r="N129"/>
  <c r="N119"/>
  <c r="W131"/>
  <c r="W125"/>
  <c r="W107"/>
  <c r="W112"/>
  <c r="W117"/>
  <c r="W105"/>
  <c r="W132"/>
  <c r="W110"/>
  <c r="T130"/>
  <c r="T133"/>
  <c r="T104"/>
  <c r="T135" s="1"/>
  <c r="T114"/>
  <c r="T106"/>
  <c r="T119"/>
  <c r="M117"/>
  <c r="M120"/>
  <c r="M123"/>
  <c r="M106"/>
  <c r="M135" s="1"/>
  <c r="M108"/>
  <c r="M114"/>
  <c r="E104"/>
  <c r="E127"/>
  <c r="AA59"/>
  <c r="E117"/>
  <c r="E133"/>
  <c r="E131"/>
  <c r="E106"/>
  <c r="E135" s="1"/>
  <c r="E136" s="1"/>
  <c r="E122"/>
  <c r="L112"/>
  <c r="L105"/>
  <c r="L113"/>
  <c r="L116"/>
  <c r="K119"/>
  <c r="K107"/>
  <c r="K125"/>
  <c r="K133"/>
  <c r="K104"/>
  <c r="K108"/>
  <c r="U123"/>
  <c r="U118"/>
  <c r="U133"/>
  <c r="U105"/>
  <c r="U115"/>
  <c r="U120"/>
  <c r="U112"/>
  <c r="G127"/>
  <c r="G113"/>
  <c r="G129"/>
  <c r="G105"/>
  <c r="G133"/>
  <c r="G103"/>
  <c r="G135" s="1"/>
  <c r="G109"/>
  <c r="S110"/>
  <c r="S126"/>
  <c r="S122"/>
  <c r="S116"/>
  <c r="S113"/>
  <c r="I104"/>
  <c r="I123"/>
  <c r="I107"/>
  <c r="I128"/>
  <c r="I108"/>
  <c r="I111"/>
  <c r="I112"/>
  <c r="I109"/>
  <c r="V126"/>
  <c r="V133"/>
  <c r="V103"/>
  <c r="V129"/>
  <c r="V124"/>
  <c r="P105"/>
  <c r="P127"/>
  <c r="P116"/>
  <c r="P123"/>
  <c r="P112"/>
  <c r="O110"/>
  <c r="O112"/>
  <c r="O118"/>
  <c r="O125"/>
  <c r="O129"/>
  <c r="O115"/>
  <c r="O120"/>
  <c r="H119"/>
  <c r="H121"/>
  <c r="H130"/>
  <c r="H112"/>
  <c r="X108"/>
  <c r="X130"/>
  <c r="X128"/>
  <c r="X105"/>
  <c r="X106"/>
  <c r="X116"/>
  <c r="X126"/>
  <c r="AA151"/>
  <c r="J125"/>
  <c r="J105"/>
  <c r="J113"/>
  <c r="J114"/>
  <c r="J109"/>
  <c r="J121"/>
  <c r="Q106"/>
  <c r="Q129"/>
  <c r="Q109"/>
  <c r="Q117"/>
  <c r="Q111"/>
  <c r="Q114"/>
  <c r="J135" l="1"/>
  <c r="S135"/>
  <c r="N135"/>
  <c r="U135"/>
  <c r="W135"/>
  <c r="Q135"/>
  <c r="H135"/>
  <c r="O135"/>
  <c r="P135"/>
  <c r="R135"/>
  <c r="L135"/>
  <c r="I135"/>
  <c r="K135"/>
  <c r="V135"/>
  <c r="F135"/>
  <c r="X135"/>
  <c r="Y132"/>
  <c r="Y124"/>
  <c r="Y126"/>
  <c r="F136"/>
  <c r="G136" s="1"/>
  <c r="H136" s="1"/>
  <c r="I136" s="1"/>
  <c r="I71" i="8"/>
  <c r="I63"/>
  <c r="O19" i="26" s="1"/>
  <c r="I67" i="8"/>
  <c r="O23" i="26" s="1"/>
  <c r="J51" i="8"/>
  <c r="K42"/>
  <c r="I66"/>
  <c r="O22" i="26" s="1"/>
  <c r="I62" i="8"/>
  <c r="I70"/>
  <c r="O26" i="26" s="1"/>
  <c r="N26"/>
  <c r="Y115" i="9"/>
  <c r="Y122"/>
  <c r="Y128"/>
  <c r="Y123"/>
  <c r="Y113"/>
  <c r="Y107"/>
  <c r="Y116"/>
  <c r="Y125"/>
  <c r="G45" i="8"/>
  <c r="G49"/>
  <c r="I72"/>
  <c r="O28" i="26" s="1"/>
  <c r="I68" i="8"/>
  <c r="O24" i="26" s="1"/>
  <c r="I64" i="8"/>
  <c r="O20" i="26" s="1"/>
  <c r="I74" i="8"/>
  <c r="N24" i="26"/>
  <c r="N23"/>
  <c r="J52" i="8"/>
  <c r="K43"/>
  <c r="N22" i="26"/>
  <c r="F45" i="8"/>
  <c r="F49"/>
  <c r="J50"/>
  <c r="K41"/>
  <c r="N20" i="26"/>
  <c r="N19"/>
  <c r="H40" i="8"/>
  <c r="Y111" i="9"/>
  <c r="Y133"/>
  <c r="Y103"/>
  <c r="Y118"/>
  <c r="Y120"/>
  <c r="Y109"/>
  <c r="Y104"/>
  <c r="Y130"/>
  <c r="Y136" l="1"/>
  <c r="J136"/>
  <c r="K136" s="1"/>
  <c r="L136" s="1"/>
  <c r="M136" s="1"/>
  <c r="N136" s="1"/>
  <c r="O136" s="1"/>
  <c r="P136" s="1"/>
  <c r="Q136" s="1"/>
  <c r="R136" s="1"/>
  <c r="S136" s="1"/>
  <c r="T136" s="1"/>
  <c r="U136" s="1"/>
  <c r="V136" s="1"/>
  <c r="W136" s="1"/>
  <c r="X136" s="1"/>
  <c r="F69" i="8"/>
  <c r="F73"/>
  <c r="F65"/>
  <c r="F54"/>
  <c r="F61"/>
  <c r="K52"/>
  <c r="L43"/>
  <c r="J63"/>
  <c r="J67"/>
  <c r="J71"/>
  <c r="P27" i="26" s="1"/>
  <c r="J70" i="8"/>
  <c r="P26" i="26" s="1"/>
  <c r="J62" i="8"/>
  <c r="P18" i="26" s="1"/>
  <c r="J66" i="8"/>
  <c r="K51"/>
  <c r="L42"/>
  <c r="K50"/>
  <c r="L41"/>
  <c r="O30" i="26"/>
  <c r="G69" i="8"/>
  <c r="M25" i="26" s="1"/>
  <c r="G65" i="8"/>
  <c r="M21" i="26" s="1"/>
  <c r="G73" i="8"/>
  <c r="M29" i="26" s="1"/>
  <c r="G61" i="8"/>
  <c r="G54"/>
  <c r="O27" i="26"/>
  <c r="H45" i="8"/>
  <c r="H49"/>
  <c r="I40"/>
  <c r="J74"/>
  <c r="P30" i="26" s="1"/>
  <c r="J72" i="8"/>
  <c r="J64"/>
  <c r="J68"/>
  <c r="P24" i="26" s="1"/>
  <c r="O18"/>
  <c r="K62" i="8" l="1"/>
  <c r="Q18" i="26" s="1"/>
  <c r="K66" i="8"/>
  <c r="Q22" i="26" s="1"/>
  <c r="K70" i="8"/>
  <c r="L25" i="26"/>
  <c r="P28"/>
  <c r="P22"/>
  <c r="F108" i="8"/>
  <c r="F92"/>
  <c r="F104"/>
  <c r="F112"/>
  <c r="F97"/>
  <c r="L17" i="26"/>
  <c r="F107" i="8"/>
  <c r="F85"/>
  <c r="F101"/>
  <c r="F87"/>
  <c r="F103"/>
  <c r="F140" s="1"/>
  <c r="F102"/>
  <c r="F115"/>
  <c r="F76"/>
  <c r="F93"/>
  <c r="F89"/>
  <c r="F113"/>
  <c r="F105"/>
  <c r="F90"/>
  <c r="F127" s="1"/>
  <c r="F91"/>
  <c r="F114"/>
  <c r="F151" s="1"/>
  <c r="F84"/>
  <c r="F121" s="1"/>
  <c r="F109"/>
  <c r="F94"/>
  <c r="F98"/>
  <c r="F110"/>
  <c r="F99"/>
  <c r="F86"/>
  <c r="F123" s="1"/>
  <c r="F88"/>
  <c r="F125" s="1"/>
  <c r="F111"/>
  <c r="F148" s="1"/>
  <c r="F96"/>
  <c r="F106"/>
  <c r="F143" s="1"/>
  <c r="F100"/>
  <c r="F95"/>
  <c r="P20" i="26"/>
  <c r="H69" i="8"/>
  <c r="N25" i="26" s="1"/>
  <c r="H54" i="8"/>
  <c r="H73"/>
  <c r="N29" i="26" s="1"/>
  <c r="H65" i="8"/>
  <c r="N21" i="26" s="1"/>
  <c r="H61" i="8"/>
  <c r="K71"/>
  <c r="K67"/>
  <c r="Q23" i="26" s="1"/>
  <c r="K63" i="8"/>
  <c r="Q19" i="26" s="1"/>
  <c r="K72" i="8"/>
  <c r="Q28" i="26" s="1"/>
  <c r="K64" i="8"/>
  <c r="Q20" i="26" s="1"/>
  <c r="K74" i="8"/>
  <c r="Q30" i="26" s="1"/>
  <c r="K68" i="8"/>
  <c r="L21" i="26"/>
  <c r="P19"/>
  <c r="L50" i="8"/>
  <c r="M41"/>
  <c r="P23" i="26"/>
  <c r="L29"/>
  <c r="I45" i="8"/>
  <c r="I49"/>
  <c r="J40"/>
  <c r="G85"/>
  <c r="G87"/>
  <c r="G101"/>
  <c r="G104"/>
  <c r="G115"/>
  <c r="G93"/>
  <c r="G100"/>
  <c r="G95"/>
  <c r="G84"/>
  <c r="G121" s="1"/>
  <c r="G94"/>
  <c r="G131" s="1"/>
  <c r="G108"/>
  <c r="G91"/>
  <c r="G76"/>
  <c r="G114"/>
  <c r="G102"/>
  <c r="G139" s="1"/>
  <c r="G105"/>
  <c r="G142" s="1"/>
  <c r="G88"/>
  <c r="G99"/>
  <c r="G106"/>
  <c r="G143" s="1"/>
  <c r="G112"/>
  <c r="G97"/>
  <c r="G96"/>
  <c r="G98"/>
  <c r="G135" s="1"/>
  <c r="G92"/>
  <c r="G129" s="1"/>
  <c r="G90"/>
  <c r="G111"/>
  <c r="G113"/>
  <c r="G150" s="1"/>
  <c r="G103"/>
  <c r="M17" i="26"/>
  <c r="G107" i="8"/>
  <c r="G109"/>
  <c r="G146" s="1"/>
  <c r="G89"/>
  <c r="G126" s="1"/>
  <c r="G110"/>
  <c r="G86"/>
  <c r="G123" s="1"/>
  <c r="L51"/>
  <c r="M42"/>
  <c r="L52"/>
  <c r="M43"/>
  <c r="F131" l="1"/>
  <c r="F137"/>
  <c r="F150"/>
  <c r="F138"/>
  <c r="F134"/>
  <c r="F145"/>
  <c r="G144"/>
  <c r="G148"/>
  <c r="G133"/>
  <c r="G136"/>
  <c r="G151"/>
  <c r="G130"/>
  <c r="F147"/>
  <c r="F142"/>
  <c r="F129"/>
  <c r="M52"/>
  <c r="N43"/>
  <c r="Q24" i="26"/>
  <c r="F152" i="8"/>
  <c r="F117"/>
  <c r="G117" s="1"/>
  <c r="I73"/>
  <c r="I69"/>
  <c r="O25" i="26" s="1"/>
  <c r="I54" i="8"/>
  <c r="I65"/>
  <c r="O21" i="26" s="1"/>
  <c r="I61" i="8"/>
  <c r="H104"/>
  <c r="H108"/>
  <c r="H91"/>
  <c r="H92"/>
  <c r="H102"/>
  <c r="H103"/>
  <c r="H88"/>
  <c r="H105"/>
  <c r="H142" s="1"/>
  <c r="H98"/>
  <c r="H90"/>
  <c r="H86"/>
  <c r="H113"/>
  <c r="H76"/>
  <c r="H89"/>
  <c r="H126" s="1"/>
  <c r="H94"/>
  <c r="H109"/>
  <c r="H111"/>
  <c r="N17" i="26"/>
  <c r="H93" i="8"/>
  <c r="H85"/>
  <c r="H115"/>
  <c r="H101"/>
  <c r="H84"/>
  <c r="H121" s="1"/>
  <c r="H99"/>
  <c r="H136" s="1"/>
  <c r="H96"/>
  <c r="H100"/>
  <c r="H87"/>
  <c r="H124" s="1"/>
  <c r="H110"/>
  <c r="H147" s="1"/>
  <c r="H114"/>
  <c r="H106"/>
  <c r="H95"/>
  <c r="H132" s="1"/>
  <c r="H97"/>
  <c r="H134" s="1"/>
  <c r="H107"/>
  <c r="H112"/>
  <c r="L72"/>
  <c r="R28" i="26" s="1"/>
  <c r="L64" i="8"/>
  <c r="L68"/>
  <c r="R24" i="26" s="1"/>
  <c r="L74" i="8"/>
  <c r="M50"/>
  <c r="N41"/>
  <c r="G124"/>
  <c r="G137"/>
  <c r="G147"/>
  <c r="G127"/>
  <c r="G134"/>
  <c r="G125"/>
  <c r="G152"/>
  <c r="G122"/>
  <c r="F133"/>
  <c r="F136"/>
  <c r="F146"/>
  <c r="F128"/>
  <c r="F126"/>
  <c r="F139"/>
  <c r="F122"/>
  <c r="F149"/>
  <c r="L63"/>
  <c r="R19" i="26" s="1"/>
  <c r="L67" i="8"/>
  <c r="L71"/>
  <c r="R27" i="26" s="1"/>
  <c r="F78" i="8"/>
  <c r="G78" s="1"/>
  <c r="H78" s="1"/>
  <c r="Q26" i="26"/>
  <c r="M51" i="8"/>
  <c r="N42"/>
  <c r="J45"/>
  <c r="J49"/>
  <c r="K40"/>
  <c r="L62"/>
  <c r="L66"/>
  <c r="R22" i="26" s="1"/>
  <c r="L70" i="8"/>
  <c r="R26" i="26" s="1"/>
  <c r="Q27"/>
  <c r="G145" i="8"/>
  <c r="G138"/>
  <c r="F135"/>
  <c r="F124"/>
  <c r="G140"/>
  <c r="G149"/>
  <c r="G128"/>
  <c r="G132"/>
  <c r="G141"/>
  <c r="F132"/>
  <c r="F130"/>
  <c r="F144"/>
  <c r="F141"/>
  <c r="H151" l="1"/>
  <c r="H149"/>
  <c r="H143"/>
  <c r="H137"/>
  <c r="H140"/>
  <c r="H145"/>
  <c r="G154"/>
  <c r="F154"/>
  <c r="F155" s="1"/>
  <c r="G155" s="1"/>
  <c r="H130"/>
  <c r="H123"/>
  <c r="H117"/>
  <c r="M67"/>
  <c r="S23" i="26" s="1"/>
  <c r="M71" i="8"/>
  <c r="M63"/>
  <c r="S19" i="26" s="1"/>
  <c r="R18"/>
  <c r="J61" i="8"/>
  <c r="J54"/>
  <c r="J69"/>
  <c r="J65"/>
  <c r="J73"/>
  <c r="P29" i="26" s="1"/>
  <c r="H144" i="8"/>
  <c r="H133"/>
  <c r="H152"/>
  <c r="H148"/>
  <c r="H135"/>
  <c r="H139"/>
  <c r="H141"/>
  <c r="K45"/>
  <c r="K49"/>
  <c r="L40"/>
  <c r="R30" i="26"/>
  <c r="M68" i="8"/>
  <c r="S24" i="26" s="1"/>
  <c r="M72" i="8"/>
  <c r="S28" i="26" s="1"/>
  <c r="M74" i="8"/>
  <c r="S30" i="26" s="1"/>
  <c r="M64" i="8"/>
  <c r="S20" i="26" s="1"/>
  <c r="N51" i="8"/>
  <c r="O42"/>
  <c r="R23" i="26"/>
  <c r="M66" i="8"/>
  <c r="S22" i="26" s="1"/>
  <c r="M62" i="8"/>
  <c r="S18" i="26" s="1"/>
  <c r="M70" i="8"/>
  <c r="S26" i="26" s="1"/>
  <c r="N52" i="8"/>
  <c r="O43"/>
  <c r="N50"/>
  <c r="O41"/>
  <c r="R20" i="26"/>
  <c r="I105" i="8"/>
  <c r="I110"/>
  <c r="I95"/>
  <c r="I132" s="1"/>
  <c r="I102"/>
  <c r="I115"/>
  <c r="I100"/>
  <c r="I92"/>
  <c r="I129" s="1"/>
  <c r="O17" i="26"/>
  <c r="I104" i="8"/>
  <c r="I101"/>
  <c r="I138" s="1"/>
  <c r="I99"/>
  <c r="I86"/>
  <c r="I112"/>
  <c r="I88"/>
  <c r="I96"/>
  <c r="I133" s="1"/>
  <c r="I90"/>
  <c r="I87"/>
  <c r="I109"/>
  <c r="I114"/>
  <c r="I93"/>
  <c r="I85"/>
  <c r="I76"/>
  <c r="I111"/>
  <c r="I84"/>
  <c r="I121" s="1"/>
  <c r="I108"/>
  <c r="I103"/>
  <c r="I107"/>
  <c r="I91"/>
  <c r="I128" s="1"/>
  <c r="I97"/>
  <c r="I89"/>
  <c r="I126" s="1"/>
  <c r="I106"/>
  <c r="I143" s="1"/>
  <c r="I94"/>
  <c r="I131" s="1"/>
  <c r="I98"/>
  <c r="I135" s="1"/>
  <c r="I113"/>
  <c r="I150" s="1"/>
  <c r="O29" i="26"/>
  <c r="H138" i="8"/>
  <c r="H127"/>
  <c r="H131"/>
  <c r="H125"/>
  <c r="H128"/>
  <c r="I117"/>
  <c r="H122"/>
  <c r="H146"/>
  <c r="H150"/>
  <c r="H129"/>
  <c r="I122" l="1"/>
  <c r="I124"/>
  <c r="H154"/>
  <c r="H155" s="1"/>
  <c r="I140"/>
  <c r="I146"/>
  <c r="I125"/>
  <c r="I137"/>
  <c r="N62"/>
  <c r="T18" i="26" s="1"/>
  <c r="N70" i="8"/>
  <c r="T26" i="26" s="1"/>
  <c r="N66" i="8"/>
  <c r="T22" i="26" s="1"/>
  <c r="O51" i="8"/>
  <c r="P42"/>
  <c r="L45"/>
  <c r="L49"/>
  <c r="M40"/>
  <c r="I78"/>
  <c r="I148"/>
  <c r="I134"/>
  <c r="I145"/>
  <c r="I149"/>
  <c r="I141"/>
  <c r="I152"/>
  <c r="I142"/>
  <c r="O50"/>
  <c r="P41"/>
  <c r="P25" i="26"/>
  <c r="N68" i="8"/>
  <c r="T24" i="26" s="1"/>
  <c r="N64" i="8"/>
  <c r="T20" i="26" s="1"/>
  <c r="N74" i="8"/>
  <c r="T30" i="26" s="1"/>
  <c r="N72" i="8"/>
  <c r="T28" i="26" s="1"/>
  <c r="P21"/>
  <c r="O52" i="8"/>
  <c r="P43"/>
  <c r="N71"/>
  <c r="T27" i="26" s="1"/>
  <c r="N67" i="8"/>
  <c r="N63"/>
  <c r="T19" i="26" s="1"/>
  <c r="K54" i="8"/>
  <c r="K73"/>
  <c r="K65"/>
  <c r="Q21" i="26" s="1"/>
  <c r="K61" i="8"/>
  <c r="K69"/>
  <c r="Q25" i="26" s="1"/>
  <c r="J93" i="8"/>
  <c r="J87"/>
  <c r="J91"/>
  <c r="J104"/>
  <c r="J106"/>
  <c r="J85"/>
  <c r="J97"/>
  <c r="J107"/>
  <c r="J144" s="1"/>
  <c r="J90"/>
  <c r="J110"/>
  <c r="J94"/>
  <c r="J96"/>
  <c r="J102"/>
  <c r="J88"/>
  <c r="J125" s="1"/>
  <c r="J84"/>
  <c r="J121" s="1"/>
  <c r="J95"/>
  <c r="J86"/>
  <c r="J101"/>
  <c r="J138" s="1"/>
  <c r="J100"/>
  <c r="J98"/>
  <c r="J115"/>
  <c r="J76"/>
  <c r="J112"/>
  <c r="J109"/>
  <c r="J99"/>
  <c r="J105"/>
  <c r="J111"/>
  <c r="J108"/>
  <c r="J145" s="1"/>
  <c r="P17" i="26"/>
  <c r="J114" i="8"/>
  <c r="J89"/>
  <c r="J113"/>
  <c r="J103"/>
  <c r="J140" s="1"/>
  <c r="J92"/>
  <c r="J129" s="1"/>
  <c r="S27" i="26"/>
  <c r="I147" i="8"/>
  <c r="I144"/>
  <c r="I151"/>
  <c r="I136"/>
  <c r="J117"/>
  <c r="I130"/>
  <c r="I127"/>
  <c r="I123"/>
  <c r="I139"/>
  <c r="J136" l="1"/>
  <c r="J151"/>
  <c r="J142"/>
  <c r="J147"/>
  <c r="J122"/>
  <c r="J124"/>
  <c r="I154"/>
  <c r="I155" s="1"/>
  <c r="J137"/>
  <c r="J131"/>
  <c r="J134"/>
  <c r="J128"/>
  <c r="P52"/>
  <c r="Q43"/>
  <c r="M45"/>
  <c r="M49"/>
  <c r="N40"/>
  <c r="O63"/>
  <c r="U19" i="26" s="1"/>
  <c r="O71" i="8"/>
  <c r="U27" i="26" s="1"/>
  <c r="O67" i="8"/>
  <c r="U23" i="26" s="1"/>
  <c r="J148" i="8"/>
  <c r="J150"/>
  <c r="J146"/>
  <c r="J135"/>
  <c r="J132"/>
  <c r="J133"/>
  <c r="J141"/>
  <c r="T23" i="26"/>
  <c r="P50" i="8"/>
  <c r="Q41"/>
  <c r="K86"/>
  <c r="Q17" i="26"/>
  <c r="K101" i="8"/>
  <c r="K91"/>
  <c r="K97"/>
  <c r="K96"/>
  <c r="K87"/>
  <c r="K94"/>
  <c r="K85"/>
  <c r="K76"/>
  <c r="K113"/>
  <c r="K93"/>
  <c r="K88"/>
  <c r="K100"/>
  <c r="K89"/>
  <c r="K109"/>
  <c r="K108"/>
  <c r="K115"/>
  <c r="K98"/>
  <c r="K90"/>
  <c r="K114"/>
  <c r="K103"/>
  <c r="K84"/>
  <c r="K121" s="1"/>
  <c r="K106"/>
  <c r="K99"/>
  <c r="K107"/>
  <c r="K110"/>
  <c r="K92"/>
  <c r="K129" s="1"/>
  <c r="K95"/>
  <c r="K102"/>
  <c r="K139" s="1"/>
  <c r="K111"/>
  <c r="K148" s="1"/>
  <c r="K104"/>
  <c r="K112"/>
  <c r="K105"/>
  <c r="O74"/>
  <c r="U30" i="26" s="1"/>
  <c r="O68" i="8"/>
  <c r="U24" i="26" s="1"/>
  <c r="O72" i="8"/>
  <c r="U28" i="26" s="1"/>
  <c r="O64" i="8"/>
  <c r="U20" i="26" s="1"/>
  <c r="L69" i="8"/>
  <c r="R25" i="26" s="1"/>
  <c r="L61" i="8"/>
  <c r="L65"/>
  <c r="R21" i="26" s="1"/>
  <c r="L73" i="8"/>
  <c r="R29" i="26" s="1"/>
  <c r="L54" i="8"/>
  <c r="Q29" i="26"/>
  <c r="O62" i="8"/>
  <c r="U18" i="26" s="1"/>
  <c r="O70" i="8"/>
  <c r="U26" i="26" s="1"/>
  <c r="O66" i="8"/>
  <c r="U22" i="26" s="1"/>
  <c r="P51" i="8"/>
  <c r="Q42"/>
  <c r="J126"/>
  <c r="J149"/>
  <c r="J152"/>
  <c r="J123"/>
  <c r="J139"/>
  <c r="J127"/>
  <c r="J143"/>
  <c r="J130"/>
  <c r="J78"/>
  <c r="K78" s="1"/>
  <c r="K142" l="1"/>
  <c r="K144"/>
  <c r="K152"/>
  <c r="K137"/>
  <c r="K133"/>
  <c r="K132"/>
  <c r="J154"/>
  <c r="J155" s="1"/>
  <c r="K147"/>
  <c r="K135"/>
  <c r="K126"/>
  <c r="K150"/>
  <c r="K124"/>
  <c r="P63"/>
  <c r="V19" i="26" s="1"/>
  <c r="P67" i="8"/>
  <c r="V23" i="26" s="1"/>
  <c r="P71" i="8"/>
  <c r="V27" i="26" s="1"/>
  <c r="Q51" i="8"/>
  <c r="R42"/>
  <c r="K140"/>
  <c r="K149"/>
  <c r="K136"/>
  <c r="K151"/>
  <c r="K145"/>
  <c r="K125"/>
  <c r="K122"/>
  <c r="K134"/>
  <c r="K123"/>
  <c r="M61"/>
  <c r="M73"/>
  <c r="M54"/>
  <c r="M65"/>
  <c r="S21" i="26" s="1"/>
  <c r="M69" i="8"/>
  <c r="S25" i="26" s="1"/>
  <c r="P66" i="8"/>
  <c r="V22" i="26" s="1"/>
  <c r="P62" i="8"/>
  <c r="V18" i="26" s="1"/>
  <c r="P70" i="8"/>
  <c r="V26" i="26" s="1"/>
  <c r="N45" i="8"/>
  <c r="N49"/>
  <c r="O40"/>
  <c r="P68"/>
  <c r="V24" i="26" s="1"/>
  <c r="P72" i="8"/>
  <c r="V28" i="26" s="1"/>
  <c r="P74" i="8"/>
  <c r="V30" i="26" s="1"/>
  <c r="P64" i="8"/>
  <c r="V20" i="26" s="1"/>
  <c r="L107" i="8"/>
  <c r="L113"/>
  <c r="L91"/>
  <c r="L93"/>
  <c r="L87"/>
  <c r="L124" s="1"/>
  <c r="L98"/>
  <c r="L86"/>
  <c r="L97"/>
  <c r="L84"/>
  <c r="L121" s="1"/>
  <c r="L109"/>
  <c r="L89"/>
  <c r="L85"/>
  <c r="L88"/>
  <c r="L125" s="1"/>
  <c r="L90"/>
  <c r="L127" s="1"/>
  <c r="L95"/>
  <c r="L105"/>
  <c r="L106"/>
  <c r="L102"/>
  <c r="L110"/>
  <c r="L99"/>
  <c r="L96"/>
  <c r="L133" s="1"/>
  <c r="L108"/>
  <c r="L76"/>
  <c r="L78" s="1"/>
  <c r="L100"/>
  <c r="L137" s="1"/>
  <c r="L112"/>
  <c r="L149" s="1"/>
  <c r="L111"/>
  <c r="L148" s="1"/>
  <c r="L114"/>
  <c r="L103"/>
  <c r="L94"/>
  <c r="R17" i="26"/>
  <c r="L104" i="8"/>
  <c r="L101"/>
  <c r="L138" s="1"/>
  <c r="L115"/>
  <c r="L152" s="1"/>
  <c r="L92"/>
  <c r="L129" s="1"/>
  <c r="Q50"/>
  <c r="R41"/>
  <c r="Q52"/>
  <c r="R43"/>
  <c r="K138"/>
  <c r="K117"/>
  <c r="K141"/>
  <c r="K143"/>
  <c r="K127"/>
  <c r="K146"/>
  <c r="K130"/>
  <c r="K131"/>
  <c r="K128"/>
  <c r="L131" l="1"/>
  <c r="L139"/>
  <c r="L135"/>
  <c r="L143"/>
  <c r="L141"/>
  <c r="R50"/>
  <c r="S41"/>
  <c r="Q62"/>
  <c r="W18" i="26" s="1"/>
  <c r="Q66" i="8"/>
  <c r="W22" i="26" s="1"/>
  <c r="Q70" i="8"/>
  <c r="W26" i="26" s="1"/>
  <c r="O45" i="8"/>
  <c r="O49"/>
  <c r="P40"/>
  <c r="L144"/>
  <c r="L150"/>
  <c r="L140"/>
  <c r="L136"/>
  <c r="L142"/>
  <c r="L122"/>
  <c r="L134"/>
  <c r="L130"/>
  <c r="Q67"/>
  <c r="W23" i="26" s="1"/>
  <c r="Q63" i="8"/>
  <c r="W19" i="26" s="1"/>
  <c r="Q71" i="8"/>
  <c r="W27" i="26" s="1"/>
  <c r="Q72" i="8"/>
  <c r="W28" i="26" s="1"/>
  <c r="Q74" i="8"/>
  <c r="W30" i="26" s="1"/>
  <c r="Q68" i="8"/>
  <c r="W24" i="26" s="1"/>
  <c r="Q64" i="8"/>
  <c r="W20" i="26" s="1"/>
  <c r="M104" i="8"/>
  <c r="M141" s="1"/>
  <c r="M110"/>
  <c r="M147" s="1"/>
  <c r="M86"/>
  <c r="M115"/>
  <c r="M85"/>
  <c r="M122" s="1"/>
  <c r="M100"/>
  <c r="M137" s="1"/>
  <c r="M105"/>
  <c r="M99"/>
  <c r="M93"/>
  <c r="M103"/>
  <c r="M140" s="1"/>
  <c r="M113"/>
  <c r="M106"/>
  <c r="M143" s="1"/>
  <c r="M76"/>
  <c r="M78" s="1"/>
  <c r="M87"/>
  <c r="M124" s="1"/>
  <c r="M94"/>
  <c r="M102"/>
  <c r="M89"/>
  <c r="M112"/>
  <c r="M149" s="1"/>
  <c r="M91"/>
  <c r="M90"/>
  <c r="M101"/>
  <c r="M138" s="1"/>
  <c r="M107"/>
  <c r="M144" s="1"/>
  <c r="M114"/>
  <c r="M151" s="1"/>
  <c r="M108"/>
  <c r="M88"/>
  <c r="M125" s="1"/>
  <c r="M97"/>
  <c r="M134" s="1"/>
  <c r="M109"/>
  <c r="M146" s="1"/>
  <c r="M84"/>
  <c r="M121" s="1"/>
  <c r="M95"/>
  <c r="M132" s="1"/>
  <c r="S17" i="26"/>
  <c r="M96" i="8"/>
  <c r="M111"/>
  <c r="M92"/>
  <c r="M129" s="1"/>
  <c r="M98"/>
  <c r="M135" s="1"/>
  <c r="R51"/>
  <c r="S42"/>
  <c r="R52"/>
  <c r="S43"/>
  <c r="N69"/>
  <c r="T25" i="26" s="1"/>
  <c r="N54" i="8"/>
  <c r="N65"/>
  <c r="T21" i="26" s="1"/>
  <c r="N73" i="8"/>
  <c r="T29" i="26" s="1"/>
  <c r="N61" i="8"/>
  <c r="S29" i="26"/>
  <c r="K154" i="8"/>
  <c r="K155" s="1"/>
  <c r="L117"/>
  <c r="M117" s="1"/>
  <c r="L145"/>
  <c r="L146"/>
  <c r="L151"/>
  <c r="L147"/>
  <c r="L132"/>
  <c r="L126"/>
  <c r="L123"/>
  <c r="L128"/>
  <c r="L154" l="1"/>
  <c r="L155" s="1"/>
  <c r="N78"/>
  <c r="R64"/>
  <c r="X20" i="26" s="1"/>
  <c r="R72" i="8"/>
  <c r="X28" i="26" s="1"/>
  <c r="R68" i="8"/>
  <c r="X24" i="26" s="1"/>
  <c r="R74" i="8"/>
  <c r="X30" i="26" s="1"/>
  <c r="P45" i="8"/>
  <c r="P49"/>
  <c r="Q40"/>
  <c r="N93"/>
  <c r="N130" s="1"/>
  <c r="N105"/>
  <c r="N94"/>
  <c r="N112"/>
  <c r="N87"/>
  <c r="N124" s="1"/>
  <c r="N109"/>
  <c r="N86"/>
  <c r="N108"/>
  <c r="N102"/>
  <c r="N76"/>
  <c r="N99"/>
  <c r="N88"/>
  <c r="N114"/>
  <c r="N151" s="1"/>
  <c r="N107"/>
  <c r="N113"/>
  <c r="N91"/>
  <c r="N101"/>
  <c r="N92"/>
  <c r="N98"/>
  <c r="N115"/>
  <c r="N117" s="1"/>
  <c r="N90"/>
  <c r="N127" s="1"/>
  <c r="T17" i="26"/>
  <c r="N85" i="8"/>
  <c r="N96"/>
  <c r="N110"/>
  <c r="N147" s="1"/>
  <c r="N89"/>
  <c r="N106"/>
  <c r="N100"/>
  <c r="N137" s="1"/>
  <c r="N103"/>
  <c r="N140" s="1"/>
  <c r="N97"/>
  <c r="N95"/>
  <c r="N132" s="1"/>
  <c r="N111"/>
  <c r="N84"/>
  <c r="N121" s="1"/>
  <c r="N104"/>
  <c r="R67"/>
  <c r="X23" i="26" s="1"/>
  <c r="R71" i="8"/>
  <c r="X27" i="26" s="1"/>
  <c r="R63" i="8"/>
  <c r="X19" i="26" s="1"/>
  <c r="S50" i="8"/>
  <c r="T41"/>
  <c r="M130"/>
  <c r="M133"/>
  <c r="M128"/>
  <c r="M131"/>
  <c r="M150"/>
  <c r="M142"/>
  <c r="M123"/>
  <c r="S52"/>
  <c r="T43"/>
  <c r="R70"/>
  <c r="X26" i="26" s="1"/>
  <c r="R62" i="8"/>
  <c r="X18" i="26" s="1"/>
  <c r="R66" i="8"/>
  <c r="X22" i="26" s="1"/>
  <c r="S51" i="8"/>
  <c r="T42"/>
  <c r="O69"/>
  <c r="U25" i="26" s="1"/>
  <c r="O65" i="8"/>
  <c r="U21" i="26" s="1"/>
  <c r="O73" i="8"/>
  <c r="O54"/>
  <c r="O61"/>
  <c r="M126"/>
  <c r="M148"/>
  <c r="M145"/>
  <c r="M127"/>
  <c r="M139"/>
  <c r="M136"/>
  <c r="M152"/>
  <c r="M154" l="1"/>
  <c r="N134"/>
  <c r="N126"/>
  <c r="N129"/>
  <c r="N144"/>
  <c r="N146"/>
  <c r="N138"/>
  <c r="N150"/>
  <c r="O93"/>
  <c r="O109"/>
  <c r="O115"/>
  <c r="O101"/>
  <c r="O108"/>
  <c r="O90"/>
  <c r="O127" s="1"/>
  <c r="O92"/>
  <c r="O103"/>
  <c r="O91"/>
  <c r="O105"/>
  <c r="O142" s="1"/>
  <c r="O94"/>
  <c r="U17" i="26"/>
  <c r="O114" i="8"/>
  <c r="O76"/>
  <c r="O78" s="1"/>
  <c r="O104"/>
  <c r="O141" s="1"/>
  <c r="O84"/>
  <c r="O121" s="1"/>
  <c r="O112"/>
  <c r="O106"/>
  <c r="O143" s="1"/>
  <c r="O111"/>
  <c r="O100"/>
  <c r="O88"/>
  <c r="O98"/>
  <c r="O110"/>
  <c r="O99"/>
  <c r="O95"/>
  <c r="O102"/>
  <c r="O139" s="1"/>
  <c r="O89"/>
  <c r="O113"/>
  <c r="O86"/>
  <c r="O96"/>
  <c r="O85"/>
  <c r="O122" s="1"/>
  <c r="O87"/>
  <c r="O97"/>
  <c r="O107"/>
  <c r="O144" s="1"/>
  <c r="T50"/>
  <c r="U41"/>
  <c r="P69"/>
  <c r="V25" i="26" s="1"/>
  <c r="P54" i="8"/>
  <c r="P73"/>
  <c r="V29" i="26" s="1"/>
  <c r="P65" i="8"/>
  <c r="V21" i="26" s="1"/>
  <c r="P61" i="8"/>
  <c r="O117"/>
  <c r="N141"/>
  <c r="N142"/>
  <c r="N143"/>
  <c r="N122"/>
  <c r="N135"/>
  <c r="N136"/>
  <c r="N123"/>
  <c r="N131"/>
  <c r="U29" i="26"/>
  <c r="S67" i="8"/>
  <c r="Y23" i="26" s="1"/>
  <c r="S71" i="8"/>
  <c r="Y27" i="26" s="1"/>
  <c r="S63" i="8"/>
  <c r="Y19" i="26" s="1"/>
  <c r="T52" i="8"/>
  <c r="U43"/>
  <c r="T51"/>
  <c r="U42"/>
  <c r="S66"/>
  <c r="Y22" i="26" s="1"/>
  <c r="S62" i="8"/>
  <c r="Y18" i="26" s="1"/>
  <c r="S70" i="8"/>
  <c r="Y26" i="26" s="1"/>
  <c r="S68" i="8"/>
  <c r="Y24" i="26" s="1"/>
  <c r="S64" i="8"/>
  <c r="Y20" i="26" s="1"/>
  <c r="S74" i="8"/>
  <c r="Y30" i="26" s="1"/>
  <c r="S72" i="8"/>
  <c r="Y28" i="26" s="1"/>
  <c r="Q45" i="8"/>
  <c r="Q49"/>
  <c r="R40"/>
  <c r="M155"/>
  <c r="N139"/>
  <c r="N148"/>
  <c r="N133"/>
  <c r="N152"/>
  <c r="N128"/>
  <c r="N125"/>
  <c r="N145"/>
  <c r="N149"/>
  <c r="O146" l="1"/>
  <c r="O126"/>
  <c r="O131"/>
  <c r="O129"/>
  <c r="O152"/>
  <c r="N154"/>
  <c r="N155" s="1"/>
  <c r="O133"/>
  <c r="O135"/>
  <c r="O150"/>
  <c r="P78"/>
  <c r="T71"/>
  <c r="Z27" i="26" s="1"/>
  <c r="T63" i="8"/>
  <c r="Z19" i="26" s="1"/>
  <c r="T67" i="8"/>
  <c r="Z23" i="26" s="1"/>
  <c r="T66" i="8"/>
  <c r="Z22" i="26" s="1"/>
  <c r="T62" i="8"/>
  <c r="Z18" i="26" s="1"/>
  <c r="T70" i="8"/>
  <c r="Z26" i="26" s="1"/>
  <c r="Q65" i="8"/>
  <c r="W21" i="26" s="1"/>
  <c r="Q61" i="8"/>
  <c r="Q69"/>
  <c r="W25" i="26" s="1"/>
  <c r="Q54" i="8"/>
  <c r="Q73"/>
  <c r="W29" i="26" s="1"/>
  <c r="T68" i="8"/>
  <c r="Z24" i="26" s="1"/>
  <c r="T74" i="8"/>
  <c r="Z30" i="26" s="1"/>
  <c r="T64" i="8"/>
  <c r="Z20" i="26" s="1"/>
  <c r="T72" i="8"/>
  <c r="Z28" i="26" s="1"/>
  <c r="P114" i="8"/>
  <c r="P151" s="1"/>
  <c r="P112"/>
  <c r="P101"/>
  <c r="P95"/>
  <c r="P86"/>
  <c r="P103"/>
  <c r="P111"/>
  <c r="P90"/>
  <c r="P91"/>
  <c r="P76"/>
  <c r="P113"/>
  <c r="P93"/>
  <c r="P107"/>
  <c r="P108"/>
  <c r="P102"/>
  <c r="P139" s="1"/>
  <c r="P88"/>
  <c r="P109"/>
  <c r="P146" s="1"/>
  <c r="P98"/>
  <c r="P97"/>
  <c r="P92"/>
  <c r="P85"/>
  <c r="P122" s="1"/>
  <c r="P87"/>
  <c r="P84"/>
  <c r="P121" s="1"/>
  <c r="P100"/>
  <c r="P105"/>
  <c r="P142" s="1"/>
  <c r="P99"/>
  <c r="P136" s="1"/>
  <c r="P104"/>
  <c r="P96"/>
  <c r="P133" s="1"/>
  <c r="P110"/>
  <c r="P147" s="1"/>
  <c r="P115"/>
  <c r="P117" s="1"/>
  <c r="P89"/>
  <c r="P94"/>
  <c r="P131" s="1"/>
  <c r="P106"/>
  <c r="P143" s="1"/>
  <c r="V17" i="26"/>
  <c r="O148" i="8"/>
  <c r="O134"/>
  <c r="O123"/>
  <c r="O132"/>
  <c r="O125"/>
  <c r="O149"/>
  <c r="O151"/>
  <c r="O128"/>
  <c r="O145"/>
  <c r="O130"/>
  <c r="R45"/>
  <c r="R49"/>
  <c r="S40"/>
  <c r="U52"/>
  <c r="V43"/>
  <c r="U51"/>
  <c r="V42"/>
  <c r="U50"/>
  <c r="V41"/>
  <c r="O147"/>
  <c r="O124"/>
  <c r="O136"/>
  <c r="O137"/>
  <c r="O140"/>
  <c r="O138"/>
  <c r="P135" l="1"/>
  <c r="P140"/>
  <c r="P149"/>
  <c r="P128"/>
  <c r="O154"/>
  <c r="O155" s="1"/>
  <c r="P126"/>
  <c r="U62"/>
  <c r="AA18" i="26" s="1"/>
  <c r="U66" i="8"/>
  <c r="AA22" i="26" s="1"/>
  <c r="U70" i="8"/>
  <c r="AA26" i="26" s="1"/>
  <c r="U72" i="8"/>
  <c r="AA28" i="26" s="1"/>
  <c r="U74" i="8"/>
  <c r="AA30" i="26" s="1"/>
  <c r="U64" i="8"/>
  <c r="AA20" i="26" s="1"/>
  <c r="U68" i="8"/>
  <c r="AA24" i="26" s="1"/>
  <c r="Q86" i="8"/>
  <c r="Q95"/>
  <c r="Q88"/>
  <c r="Q92"/>
  <c r="Q91"/>
  <c r="Q109"/>
  <c r="Q114"/>
  <c r="Q106"/>
  <c r="Q98"/>
  <c r="Q99"/>
  <c r="Q87"/>
  <c r="Q103"/>
  <c r="Q76"/>
  <c r="Q78" s="1"/>
  <c r="Q101"/>
  <c r="Q100"/>
  <c r="Q94"/>
  <c r="Q102"/>
  <c r="Q85"/>
  <c r="Q90"/>
  <c r="Q115"/>
  <c r="Q117" s="1"/>
  <c r="Q107"/>
  <c r="Q93"/>
  <c r="Q110"/>
  <c r="Q111"/>
  <c r="Q104"/>
  <c r="Q97"/>
  <c r="Q89"/>
  <c r="Q126" s="1"/>
  <c r="Q113"/>
  <c r="Q84"/>
  <c r="Q121" s="1"/>
  <c r="Q96"/>
  <c r="Q133" s="1"/>
  <c r="Q105"/>
  <c r="Q112"/>
  <c r="Q149" s="1"/>
  <c r="Q108"/>
  <c r="Q145" s="1"/>
  <c r="W17" i="26"/>
  <c r="V50" i="8"/>
  <c r="W41"/>
  <c r="V52"/>
  <c r="W43"/>
  <c r="U63"/>
  <c r="AA19" i="26" s="1"/>
  <c r="U71" i="8"/>
  <c r="AA27" i="26" s="1"/>
  <c r="U67" i="8"/>
  <c r="AA23" i="26" s="1"/>
  <c r="R65" i="8"/>
  <c r="X21" i="26" s="1"/>
  <c r="R54" i="8"/>
  <c r="R69"/>
  <c r="X25" i="26" s="1"/>
  <c r="R73" i="8"/>
  <c r="X29" i="26" s="1"/>
  <c r="R61" i="8"/>
  <c r="P144"/>
  <c r="P145"/>
  <c r="P141"/>
  <c r="P134"/>
  <c r="P150"/>
  <c r="P148"/>
  <c r="P138"/>
  <c r="V51"/>
  <c r="W42"/>
  <c r="S45"/>
  <c r="S49"/>
  <c r="T40"/>
  <c r="P123"/>
  <c r="P152"/>
  <c r="P124"/>
  <c r="P137"/>
  <c r="P129"/>
  <c r="P125"/>
  <c r="P130"/>
  <c r="P127"/>
  <c r="P132"/>
  <c r="Q148" l="1"/>
  <c r="Q141"/>
  <c r="Q144"/>
  <c r="Q139"/>
  <c r="Q135"/>
  <c r="Q128"/>
  <c r="Q123"/>
  <c r="P154"/>
  <c r="Q152"/>
  <c r="Q130"/>
  <c r="Q138"/>
  <c r="Q132"/>
  <c r="W51"/>
  <c r="X42"/>
  <c r="V74"/>
  <c r="AB30" i="26" s="1"/>
  <c r="V72" i="8"/>
  <c r="AB28" i="26" s="1"/>
  <c r="V68" i="8"/>
  <c r="AB24" i="26" s="1"/>
  <c r="V64" i="8"/>
  <c r="AB20" i="26" s="1"/>
  <c r="S69" i="8"/>
  <c r="Y25" i="26" s="1"/>
  <c r="S65" i="8"/>
  <c r="Y21" i="26" s="1"/>
  <c r="S54" i="8"/>
  <c r="S73"/>
  <c r="Y29" i="26" s="1"/>
  <c r="S61" i="8"/>
  <c r="V70"/>
  <c r="AB26" i="26" s="1"/>
  <c r="V62" i="8"/>
  <c r="AB18" i="26" s="1"/>
  <c r="V66" i="8"/>
  <c r="AB22" i="26" s="1"/>
  <c r="Q146" i="8"/>
  <c r="Q142"/>
  <c r="Q147"/>
  <c r="Q127"/>
  <c r="Q137"/>
  <c r="Q124"/>
  <c r="Q151"/>
  <c r="Q125"/>
  <c r="R101"/>
  <c r="R93"/>
  <c r="R91"/>
  <c r="R86"/>
  <c r="R88"/>
  <c r="R95"/>
  <c r="R115"/>
  <c r="R117" s="1"/>
  <c r="R97"/>
  <c r="R85"/>
  <c r="R113"/>
  <c r="R98"/>
  <c r="R135" s="1"/>
  <c r="R114"/>
  <c r="R76"/>
  <c r="R78" s="1"/>
  <c r="R87"/>
  <c r="R106"/>
  <c r="X17" i="26"/>
  <c r="R84" i="8"/>
  <c r="R121" s="1"/>
  <c r="R104"/>
  <c r="R89"/>
  <c r="R111"/>
  <c r="R94"/>
  <c r="R131" s="1"/>
  <c r="R110"/>
  <c r="R99"/>
  <c r="R136" s="1"/>
  <c r="R96"/>
  <c r="R112"/>
  <c r="R102"/>
  <c r="R105"/>
  <c r="R92"/>
  <c r="R108"/>
  <c r="R107"/>
  <c r="R100"/>
  <c r="R137" s="1"/>
  <c r="R103"/>
  <c r="R109"/>
  <c r="R146" s="1"/>
  <c r="R90"/>
  <c r="W52"/>
  <c r="X43"/>
  <c r="T45"/>
  <c r="T49"/>
  <c r="U40"/>
  <c r="V71"/>
  <c r="AB27" i="26" s="1"/>
  <c r="V67" i="8"/>
  <c r="AB23" i="26" s="1"/>
  <c r="V63" i="8"/>
  <c r="AB19" i="26" s="1"/>
  <c r="W50" i="8"/>
  <c r="X41"/>
  <c r="P155"/>
  <c r="Q134"/>
  <c r="Q122"/>
  <c r="Q136"/>
  <c r="Q150"/>
  <c r="Q131"/>
  <c r="Q140"/>
  <c r="Q143"/>
  <c r="Q129"/>
  <c r="Q154" l="1"/>
  <c r="Q155" s="1"/>
  <c r="R129"/>
  <c r="R145"/>
  <c r="R149"/>
  <c r="R125"/>
  <c r="R138"/>
  <c r="R127"/>
  <c r="R144"/>
  <c r="R141"/>
  <c r="R124"/>
  <c r="R130"/>
  <c r="T54"/>
  <c r="T61"/>
  <c r="T69"/>
  <c r="Z25" i="26" s="1"/>
  <c r="T65" i="8"/>
  <c r="Z21" i="26" s="1"/>
  <c r="T73" i="8"/>
  <c r="Z29" i="26" s="1"/>
  <c r="AA42" i="8"/>
  <c r="X51"/>
  <c r="R139"/>
  <c r="R132"/>
  <c r="R142"/>
  <c r="R126"/>
  <c r="R143"/>
  <c r="R152"/>
  <c r="R128"/>
  <c r="W71"/>
  <c r="AC27" i="26" s="1"/>
  <c r="W63" i="8"/>
  <c r="AC19" i="26" s="1"/>
  <c r="W67" i="8"/>
  <c r="AC23" i="26" s="1"/>
  <c r="W70" i="8"/>
  <c r="AC26" i="26" s="1"/>
  <c r="W62" i="8"/>
  <c r="AC18" i="26" s="1"/>
  <c r="W66" i="8"/>
  <c r="AC22" i="26" s="1"/>
  <c r="U45" i="8"/>
  <c r="U49"/>
  <c r="V40"/>
  <c r="W72"/>
  <c r="AC28" i="26" s="1"/>
  <c r="W64" i="8"/>
  <c r="AC20" i="26" s="1"/>
  <c r="W68" i="8"/>
  <c r="AC24" i="26" s="1"/>
  <c r="W74" i="8"/>
  <c r="AC30" i="26" s="1"/>
  <c r="X50" i="8"/>
  <c r="AA41"/>
  <c r="X52"/>
  <c r="AA43"/>
  <c r="S88"/>
  <c r="S111"/>
  <c r="S86"/>
  <c r="S91"/>
  <c r="S85"/>
  <c r="S104"/>
  <c r="S102"/>
  <c r="S115"/>
  <c r="S90"/>
  <c r="S92"/>
  <c r="S100"/>
  <c r="S98"/>
  <c r="S76"/>
  <c r="S78" s="1"/>
  <c r="S101"/>
  <c r="S138" s="1"/>
  <c r="S106"/>
  <c r="S113"/>
  <c r="S109"/>
  <c r="S103"/>
  <c r="S140" s="1"/>
  <c r="S95"/>
  <c r="S89"/>
  <c r="S126" s="1"/>
  <c r="S87"/>
  <c r="S110"/>
  <c r="S84"/>
  <c r="S121" s="1"/>
  <c r="Y17" i="26"/>
  <c r="S94" i="8"/>
  <c r="S97"/>
  <c r="S112"/>
  <c r="S93"/>
  <c r="S108"/>
  <c r="S99"/>
  <c r="S114"/>
  <c r="S96"/>
  <c r="S105"/>
  <c r="S107"/>
  <c r="S144" s="1"/>
  <c r="R122"/>
  <c r="R147"/>
  <c r="R150"/>
  <c r="R140"/>
  <c r="R133"/>
  <c r="R148"/>
  <c r="R151"/>
  <c r="R134"/>
  <c r="R123"/>
  <c r="S133" l="1"/>
  <c r="S130"/>
  <c r="S150"/>
  <c r="S135"/>
  <c r="S152"/>
  <c r="S128"/>
  <c r="R154"/>
  <c r="S149"/>
  <c r="S142"/>
  <c r="S145"/>
  <c r="S124"/>
  <c r="S122"/>
  <c r="V45"/>
  <c r="V49"/>
  <c r="W40"/>
  <c r="Y66"/>
  <c r="AE22" i="26" s="1"/>
  <c r="Y62" i="8"/>
  <c r="AE18" i="26" s="1"/>
  <c r="Y70" i="8"/>
  <c r="AE26" i="26" s="1"/>
  <c r="Y63" i="8"/>
  <c r="AE19" i="26" s="1"/>
  <c r="Y71" i="8"/>
  <c r="AE27" i="26" s="1"/>
  <c r="Y67" i="8"/>
  <c r="AE23" i="26" s="1"/>
  <c r="T111" i="8"/>
  <c r="T148" s="1"/>
  <c r="T91"/>
  <c r="T106"/>
  <c r="T97"/>
  <c r="T115"/>
  <c r="T152" s="1"/>
  <c r="T85"/>
  <c r="T96"/>
  <c r="T98"/>
  <c r="T135" s="1"/>
  <c r="Z17" i="26"/>
  <c r="T84" i="8"/>
  <c r="T121" s="1"/>
  <c r="T104"/>
  <c r="T103"/>
  <c r="T76"/>
  <c r="T78" s="1"/>
  <c r="T110"/>
  <c r="T92"/>
  <c r="T105"/>
  <c r="T142" s="1"/>
  <c r="T100"/>
  <c r="T137" s="1"/>
  <c r="T108"/>
  <c r="T113"/>
  <c r="T89"/>
  <c r="T101"/>
  <c r="T138" s="1"/>
  <c r="T87"/>
  <c r="T109"/>
  <c r="T112"/>
  <c r="T102"/>
  <c r="T139" s="1"/>
  <c r="T90"/>
  <c r="T99"/>
  <c r="T94"/>
  <c r="T107"/>
  <c r="T144" s="1"/>
  <c r="T95"/>
  <c r="T114"/>
  <c r="T151" s="1"/>
  <c r="T93"/>
  <c r="T130" s="1"/>
  <c r="T88"/>
  <c r="T125" s="1"/>
  <c r="T86"/>
  <c r="T123" s="1"/>
  <c r="R155"/>
  <c r="S146"/>
  <c r="S136"/>
  <c r="S134"/>
  <c r="S129"/>
  <c r="S141"/>
  <c r="S148"/>
  <c r="Y72"/>
  <c r="AE28" i="26" s="1"/>
  <c r="Y68" i="8"/>
  <c r="AE24" i="26" s="1"/>
  <c r="Y64" i="8"/>
  <c r="AE20" i="26" s="1"/>
  <c r="Y74" i="8"/>
  <c r="AE30" i="26" s="1"/>
  <c r="AA50" i="8"/>
  <c r="AB50" s="1"/>
  <c r="X62"/>
  <c r="X66"/>
  <c r="X70"/>
  <c r="AA52"/>
  <c r="AB52" s="1"/>
  <c r="X74"/>
  <c r="X72"/>
  <c r="X64"/>
  <c r="X68"/>
  <c r="U54"/>
  <c r="U69"/>
  <c r="AA25" i="26" s="1"/>
  <c r="U65" i="8"/>
  <c r="AA21" i="26" s="1"/>
  <c r="U73" i="8"/>
  <c r="AA29" i="26" s="1"/>
  <c r="U61" i="8"/>
  <c r="AA51"/>
  <c r="AB51" s="1"/>
  <c r="X71"/>
  <c r="X67"/>
  <c r="X63"/>
  <c r="S131"/>
  <c r="S127"/>
  <c r="S125"/>
  <c r="S147"/>
  <c r="S117"/>
  <c r="T117" s="1"/>
  <c r="S151"/>
  <c r="S132"/>
  <c r="S143"/>
  <c r="S137"/>
  <c r="S139"/>
  <c r="S123"/>
  <c r="S154" l="1"/>
  <c r="S155" s="1"/>
  <c r="T132"/>
  <c r="T127"/>
  <c r="T147"/>
  <c r="T136"/>
  <c r="T141"/>
  <c r="AD28" i="26"/>
  <c r="AA72" i="8"/>
  <c r="AD27" i="26"/>
  <c r="AA71" i="8"/>
  <c r="AD20" i="26"/>
  <c r="AA64" i="8"/>
  <c r="W45"/>
  <c r="W49"/>
  <c r="X40"/>
  <c r="AD23" i="26"/>
  <c r="AA67" i="8"/>
  <c r="AD24" i="26"/>
  <c r="AA68" i="8"/>
  <c r="AD19" i="26"/>
  <c r="AA63" i="8"/>
  <c r="U97"/>
  <c r="U86"/>
  <c r="U88"/>
  <c r="U84"/>
  <c r="U121" s="1"/>
  <c r="U104"/>
  <c r="U102"/>
  <c r="U107"/>
  <c r="U110"/>
  <c r="U101"/>
  <c r="U76"/>
  <c r="U78" s="1"/>
  <c r="U105"/>
  <c r="U111"/>
  <c r="U148" s="1"/>
  <c r="U92"/>
  <c r="U91"/>
  <c r="U109"/>
  <c r="U114"/>
  <c r="AA17" i="26"/>
  <c r="U98" i="8"/>
  <c r="U93"/>
  <c r="U115"/>
  <c r="U152" s="1"/>
  <c r="U85"/>
  <c r="U87"/>
  <c r="U124" s="1"/>
  <c r="U108"/>
  <c r="U145" s="1"/>
  <c r="U99"/>
  <c r="U94"/>
  <c r="U113"/>
  <c r="U100"/>
  <c r="U89"/>
  <c r="U95"/>
  <c r="U132" s="1"/>
  <c r="U96"/>
  <c r="U103"/>
  <c r="U90"/>
  <c r="U127" s="1"/>
  <c r="U112"/>
  <c r="U106"/>
  <c r="U143" s="1"/>
  <c r="AD30" i="26"/>
  <c r="AA74" i="8"/>
  <c r="AD18" i="26"/>
  <c r="AA62" i="8"/>
  <c r="T124"/>
  <c r="T128"/>
  <c r="T131"/>
  <c r="T149"/>
  <c r="T126"/>
  <c r="T140"/>
  <c r="T134"/>
  <c r="AD22" i="26"/>
  <c r="AA66" i="8"/>
  <c r="V65"/>
  <c r="AB21" i="26" s="1"/>
  <c r="V69" i="8"/>
  <c r="AB25" i="26" s="1"/>
  <c r="V61" i="8"/>
  <c r="V54"/>
  <c r="V73"/>
  <c r="AB29" i="26" s="1"/>
  <c r="AD26"/>
  <c r="AA70" i="8"/>
  <c r="T145"/>
  <c r="T122"/>
  <c r="T146"/>
  <c r="T150"/>
  <c r="T129"/>
  <c r="T133"/>
  <c r="T143"/>
  <c r="T154" l="1"/>
  <c r="T155" s="1"/>
  <c r="U122"/>
  <c r="U133"/>
  <c r="U150"/>
  <c r="U135"/>
  <c r="U128"/>
  <c r="U139"/>
  <c r="U123"/>
  <c r="U149"/>
  <c r="U117"/>
  <c r="U137"/>
  <c r="U130"/>
  <c r="U142"/>
  <c r="AA40"/>
  <c r="X45"/>
  <c r="X49"/>
  <c r="V110"/>
  <c r="V113"/>
  <c r="V150" s="1"/>
  <c r="V107"/>
  <c r="V93"/>
  <c r="V86"/>
  <c r="V104"/>
  <c r="V141" s="1"/>
  <c r="V87"/>
  <c r="V112"/>
  <c r="V90"/>
  <c r="V100"/>
  <c r="V88"/>
  <c r="V125" s="1"/>
  <c r="V102"/>
  <c r="V76"/>
  <c r="V78" s="1"/>
  <c r="V101"/>
  <c r="V138" s="1"/>
  <c r="V95"/>
  <c r="V106"/>
  <c r="V99"/>
  <c r="V115"/>
  <c r="V111"/>
  <c r="V97"/>
  <c r="V114"/>
  <c r="V96"/>
  <c r="V133" s="1"/>
  <c r="V108"/>
  <c r="V145" s="1"/>
  <c r="V105"/>
  <c r="V89"/>
  <c r="V109"/>
  <c r="V146" s="1"/>
  <c r="V103"/>
  <c r="V140" s="1"/>
  <c r="V92"/>
  <c r="V94"/>
  <c r="V131" s="1"/>
  <c r="AB17" i="26"/>
  <c r="V91" i="8"/>
  <c r="V84"/>
  <c r="V121" s="1"/>
  <c r="V85"/>
  <c r="V98"/>
  <c r="V135" s="1"/>
  <c r="W65"/>
  <c r="AC21" i="26" s="1"/>
  <c r="W69" i="8"/>
  <c r="AC25" i="26" s="1"/>
  <c r="W73" i="8"/>
  <c r="AC29" i="26" s="1"/>
  <c r="W54" i="8"/>
  <c r="W61"/>
  <c r="U125"/>
  <c r="U131"/>
  <c r="U129"/>
  <c r="U138"/>
  <c r="U141"/>
  <c r="U134"/>
  <c r="U140"/>
  <c r="U146"/>
  <c r="U144"/>
  <c r="U126"/>
  <c r="U136"/>
  <c r="U151"/>
  <c r="U147"/>
  <c r="V128" l="1"/>
  <c r="V148"/>
  <c r="V132"/>
  <c r="V124"/>
  <c r="V144"/>
  <c r="V152"/>
  <c r="V137"/>
  <c r="U154"/>
  <c r="W104"/>
  <c r="W141" s="1"/>
  <c r="W92"/>
  <c r="W129" s="1"/>
  <c r="W89"/>
  <c r="W97"/>
  <c r="W109"/>
  <c r="W146" s="1"/>
  <c r="W86"/>
  <c r="W88"/>
  <c r="W115"/>
  <c r="W85"/>
  <c r="W122" s="1"/>
  <c r="W76"/>
  <c r="W78" s="1"/>
  <c r="W96"/>
  <c r="W87"/>
  <c r="W95"/>
  <c r="W132" s="1"/>
  <c r="W99"/>
  <c r="W102"/>
  <c r="W91"/>
  <c r="W113"/>
  <c r="W93"/>
  <c r="W130" s="1"/>
  <c r="W106"/>
  <c r="W110"/>
  <c r="W100"/>
  <c r="W137" s="1"/>
  <c r="W101"/>
  <c r="W84"/>
  <c r="W121" s="1"/>
  <c r="W90"/>
  <c r="W127" s="1"/>
  <c r="W112"/>
  <c r="W149" s="1"/>
  <c r="W98"/>
  <c r="W135" s="1"/>
  <c r="W103"/>
  <c r="W140" s="1"/>
  <c r="W111"/>
  <c r="W148" s="1"/>
  <c r="W105"/>
  <c r="W142" s="1"/>
  <c r="AC17" i="26"/>
  <c r="W107" i="8"/>
  <c r="W144" s="1"/>
  <c r="W108"/>
  <c r="W145" s="1"/>
  <c r="W114"/>
  <c r="W151" s="1"/>
  <c r="W94"/>
  <c r="W131" s="1"/>
  <c r="U155"/>
  <c r="V117"/>
  <c r="W117" s="1"/>
  <c r="V122"/>
  <c r="V126"/>
  <c r="V151"/>
  <c r="V136"/>
  <c r="V127"/>
  <c r="V123"/>
  <c r="V147"/>
  <c r="AA45"/>
  <c r="Y73"/>
  <c r="AE29" i="26" s="1"/>
  <c r="Y69" i="8"/>
  <c r="AE25" i="26" s="1"/>
  <c r="AB40" i="8"/>
  <c r="Y61"/>
  <c r="Y65"/>
  <c r="AE21" i="26" s="1"/>
  <c r="X73" i="8"/>
  <c r="X54"/>
  <c r="AA54" s="1"/>
  <c r="X65"/>
  <c r="X69"/>
  <c r="X61"/>
  <c r="AA49"/>
  <c r="AB49" s="1"/>
  <c r="V129"/>
  <c r="V142"/>
  <c r="V134"/>
  <c r="V143"/>
  <c r="V139"/>
  <c r="V149"/>
  <c r="V130"/>
  <c r="AD25" i="26" l="1"/>
  <c r="AA69" i="8"/>
  <c r="X113"/>
  <c r="X107"/>
  <c r="X101"/>
  <c r="X138" s="1"/>
  <c r="X84"/>
  <c r="X121" s="1"/>
  <c r="X89"/>
  <c r="X108"/>
  <c r="X145" s="1"/>
  <c r="X102"/>
  <c r="X139" s="1"/>
  <c r="X105"/>
  <c r="X142" s="1"/>
  <c r="X112"/>
  <c r="X76"/>
  <c r="X97"/>
  <c r="X134" s="1"/>
  <c r="X103"/>
  <c r="X95"/>
  <c r="X111"/>
  <c r="X92"/>
  <c r="X129" s="1"/>
  <c r="X100"/>
  <c r="X110"/>
  <c r="X93"/>
  <c r="X90"/>
  <c r="X127" s="1"/>
  <c r="X98"/>
  <c r="X104"/>
  <c r="X91"/>
  <c r="X114"/>
  <c r="X151" s="1"/>
  <c r="X87"/>
  <c r="X109"/>
  <c r="X146" s="1"/>
  <c r="X88"/>
  <c r="X94"/>
  <c r="X131" s="1"/>
  <c r="X106"/>
  <c r="X143" s="1"/>
  <c r="X96"/>
  <c r="X133" s="1"/>
  <c r="X115"/>
  <c r="X86"/>
  <c r="X123" s="1"/>
  <c r="X99"/>
  <c r="X136" s="1"/>
  <c r="X85"/>
  <c r="AD17" i="26"/>
  <c r="AA61" i="8"/>
  <c r="AD29" i="26"/>
  <c r="AA73" i="8"/>
  <c r="AD21" i="26"/>
  <c r="AA65" i="8"/>
  <c r="Y93"/>
  <c r="Y130" s="1"/>
  <c r="Y91"/>
  <c r="Y104"/>
  <c r="Y115"/>
  <c r="Y152" s="1"/>
  <c r="Y110"/>
  <c r="Y90"/>
  <c r="Y114"/>
  <c r="Y98"/>
  <c r="Y84"/>
  <c r="Y121" s="1"/>
  <c r="Y99"/>
  <c r="Y106"/>
  <c r="Y100"/>
  <c r="Y137" s="1"/>
  <c r="Y88"/>
  <c r="Y125" s="1"/>
  <c r="Y95"/>
  <c r="AE17" i="26"/>
  <c r="Y111" i="8"/>
  <c r="Y148" s="1"/>
  <c r="Y103"/>
  <c r="Y113"/>
  <c r="Y107"/>
  <c r="Y144" s="1"/>
  <c r="Y102"/>
  <c r="Y139" s="1"/>
  <c r="Y76"/>
  <c r="Y86"/>
  <c r="Y96"/>
  <c r="Y133" s="1"/>
  <c r="Y109"/>
  <c r="Y89"/>
  <c r="Y126" s="1"/>
  <c r="Y94"/>
  <c r="Y87"/>
  <c r="Y108"/>
  <c r="Y145" s="1"/>
  <c r="Y112"/>
  <c r="Y101"/>
  <c r="Y105"/>
  <c r="Y142" s="1"/>
  <c r="Y97"/>
  <c r="Y134" s="1"/>
  <c r="Y85"/>
  <c r="Y122" s="1"/>
  <c r="Y92"/>
  <c r="Y129" s="1"/>
  <c r="W150"/>
  <c r="V154"/>
  <c r="V155" s="1"/>
  <c r="W136"/>
  <c r="X117"/>
  <c r="W147"/>
  <c r="W128"/>
  <c r="W124"/>
  <c r="W152"/>
  <c r="W134"/>
  <c r="W138"/>
  <c r="W123"/>
  <c r="W143"/>
  <c r="W139"/>
  <c r="W133"/>
  <c r="W125"/>
  <c r="W126"/>
  <c r="W155" l="1"/>
  <c r="W154"/>
  <c r="AA78"/>
  <c r="B76"/>
  <c r="AA76"/>
  <c r="C10"/>
  <c r="Y146"/>
  <c r="Y149"/>
  <c r="Y140"/>
  <c r="Y147"/>
  <c r="X124"/>
  <c r="X137"/>
  <c r="Y138"/>
  <c r="Y124"/>
  <c r="Y143"/>
  <c r="Y151"/>
  <c r="Y141"/>
  <c r="X152"/>
  <c r="X125"/>
  <c r="X128"/>
  <c r="X130"/>
  <c r="X148"/>
  <c r="X144"/>
  <c r="X78"/>
  <c r="Y135"/>
  <c r="X135"/>
  <c r="X140"/>
  <c r="Y131"/>
  <c r="Y123"/>
  <c r="Y150"/>
  <c r="Y132"/>
  <c r="Y136"/>
  <c r="Y127"/>
  <c r="Y128"/>
  <c r="X122"/>
  <c r="X141"/>
  <c r="X147"/>
  <c r="X132"/>
  <c r="X149"/>
  <c r="X126"/>
  <c r="X150"/>
  <c r="Y155" l="1"/>
  <c r="X154"/>
  <c r="X155" s="1"/>
</calcChain>
</file>

<file path=xl/comments1.xml><?xml version="1.0" encoding="utf-8"?>
<comments xmlns="http://schemas.openxmlformats.org/spreadsheetml/2006/main">
  <authors>
    <author>Tina Jayaweera</author>
  </authors>
  <commentList>
    <comment ref="A11" authorId="0">
      <text>
        <r>
          <rPr>
            <b/>
            <sz val="9"/>
            <color indexed="81"/>
            <rFont val="Tahoma"/>
            <family val="2"/>
          </rPr>
          <t>Tina Jayaweera:</t>
        </r>
        <r>
          <rPr>
            <sz val="9"/>
            <color indexed="81"/>
            <rFont val="Tahoma"/>
            <family val="2"/>
          </rPr>
          <t xml:space="preserve">
ERWH</t>
        </r>
      </text>
    </comment>
  </commentList>
</comments>
</file>

<file path=xl/comments2.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6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6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6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s>
  <commentList>
    <comment ref="I5"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5"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6"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6"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6"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6" authorId="0">
      <text>
        <r>
          <rPr>
            <b/>
            <sz val="8"/>
            <color indexed="81"/>
            <rFont val="Tahoma"/>
            <family val="2"/>
          </rPr>
          <t xml:space="preserve"> :ProCost</t>
        </r>
        <r>
          <rPr>
            <sz val="8"/>
            <color indexed="81"/>
            <rFont val="Tahoma"/>
            <family val="2"/>
          </rPr>
          <t xml:space="preserve">
Physical life of the measure in years.  Must be &gt;=1.</t>
        </r>
      </text>
    </comment>
    <comment ref="E6"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6"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6"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6"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6"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6"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6"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6"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6"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6" authorId="0">
      <text>
        <r>
          <rPr>
            <b/>
            <sz val="8"/>
            <color indexed="81"/>
            <rFont val="Tahoma"/>
            <family val="2"/>
          </rPr>
          <t xml:space="preserve"> :</t>
        </r>
        <r>
          <rPr>
            <sz val="8"/>
            <color indexed="81"/>
            <rFont val="Tahoma"/>
            <family val="2"/>
          </rPr>
          <t xml:space="preserve">
Annual gas savings, or increases, in therms.</t>
        </r>
      </text>
    </comment>
    <comment ref="P6"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I19"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19"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20"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20"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20"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20" authorId="0">
      <text>
        <r>
          <rPr>
            <b/>
            <sz val="8"/>
            <color indexed="81"/>
            <rFont val="Tahoma"/>
            <family val="2"/>
          </rPr>
          <t xml:space="preserve"> :ProCost</t>
        </r>
        <r>
          <rPr>
            <sz val="8"/>
            <color indexed="81"/>
            <rFont val="Tahoma"/>
            <family val="2"/>
          </rPr>
          <t xml:space="preserve">
Physical life of the measure in years.  Must be &gt;=1.</t>
        </r>
      </text>
    </comment>
    <comment ref="E20"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20"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20"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20"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20"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20"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20"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20"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20"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20"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20" authorId="0">
      <text>
        <r>
          <rPr>
            <b/>
            <sz val="8"/>
            <color indexed="81"/>
            <rFont val="Tahoma"/>
            <family val="2"/>
          </rPr>
          <t xml:space="preserve"> :</t>
        </r>
        <r>
          <rPr>
            <sz val="8"/>
            <color indexed="81"/>
            <rFont val="Tahoma"/>
            <family val="2"/>
          </rPr>
          <t xml:space="preserve">
Annual gas savings, or increases, in therms.</t>
        </r>
      </text>
    </comment>
    <comment ref="P20"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4.xml><?xml version="1.0" encoding="utf-8"?>
<comments xmlns="http://schemas.openxmlformats.org/spreadsheetml/2006/main">
  <authors>
    <author xml:space="preserve"> </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List>
</comments>
</file>

<file path=xl/comments5.xml><?xml version="1.0" encoding="utf-8"?>
<comments xmlns="http://schemas.openxmlformats.org/spreadsheetml/2006/main">
  <authors>
    <author>Faith DeBolt</author>
  </authors>
  <commentList>
    <comment ref="G25" authorId="0">
      <text>
        <r>
          <rPr>
            <b/>
            <sz val="8"/>
            <color indexed="81"/>
            <rFont val="Tahoma"/>
            <family val="2"/>
          </rPr>
          <t>Faith DeBolt:</t>
        </r>
        <r>
          <rPr>
            <sz val="8"/>
            <color indexed="81"/>
            <rFont val="Tahoma"/>
            <family val="2"/>
          </rPr>
          <t xml:space="preserve">
not used in savings analysis, a delta T (outlet-inlet) of 75F used instead.</t>
        </r>
      </text>
    </comment>
  </commentList>
</comments>
</file>

<file path=xl/comments6.xml><?xml version="1.0" encoding="utf-8"?>
<comments xmlns="http://schemas.openxmlformats.org/spreadsheetml/2006/main">
  <authors>
    <author>Faith DeBolt</author>
  </authors>
  <commentList>
    <comment ref="G25" authorId="0">
      <text>
        <r>
          <rPr>
            <b/>
            <sz val="8"/>
            <color indexed="81"/>
            <rFont val="Tahoma"/>
            <family val="2"/>
          </rPr>
          <t>Faith DeBolt:</t>
        </r>
        <r>
          <rPr>
            <sz val="8"/>
            <color indexed="81"/>
            <rFont val="Tahoma"/>
            <family val="2"/>
          </rPr>
          <t xml:space="preserve">
not used in savings analysis, a delta T (outlet-inlet) of 75F used instead.</t>
        </r>
      </text>
    </comment>
  </commentList>
</comments>
</file>

<file path=xl/comments7.xml><?xml version="1.0" encoding="utf-8"?>
<comments xmlns="http://schemas.openxmlformats.org/spreadsheetml/2006/main">
  <authors>
    <author>Faith DeBolt</author>
  </authors>
  <commentList>
    <comment ref="G25" authorId="0">
      <text>
        <r>
          <rPr>
            <b/>
            <sz val="8"/>
            <color indexed="81"/>
            <rFont val="Tahoma"/>
            <family val="2"/>
          </rPr>
          <t>Faith DeBolt:</t>
        </r>
        <r>
          <rPr>
            <sz val="8"/>
            <color indexed="81"/>
            <rFont val="Tahoma"/>
            <family val="2"/>
          </rPr>
          <t xml:space="preserve">
not used in savings analysis, a delta T (outlet-inlet) of 75F used instead.</t>
        </r>
      </text>
    </comment>
  </commentList>
</comments>
</file>

<file path=xl/sharedStrings.xml><?xml version="1.0" encoding="utf-8"?>
<sst xmlns="http://schemas.openxmlformats.org/spreadsheetml/2006/main" count="5064" uniqueCount="648">
  <si>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</si>
  <si>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</si>
  <si>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</si>
  <si>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</si>
  <si>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</si>
  <si>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</si>
  <si>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</si>
  <si>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</si>
  <si>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</si>
  <si>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</si>
  <si>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</si>
  <si>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</si>
  <si>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</si>
  <si>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</si>
  <si>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</si>
  <si>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</si>
  <si>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</si>
  <si>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</si>
  <si>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</si>
  <si>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</si>
  <si>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</si>
  <si>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</si>
  <si>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</si>
  <si>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</si>
  <si>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</si>
  <si>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</si>
  <si>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</si>
  <si>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</si>
  <si>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</si>
  <si>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</si>
  <si>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</si>
  <si>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</si>
  <si>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</si>
  <si>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</si>
  <si>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</si>
  <si>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</si>
  <si>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</si>
  <si>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</si>
  <si>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</si>
  <si>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</si>
  <si>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</si>
  <si>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</si>
  <si>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</si>
  <si>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</si>
  <si>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</si>
  <si>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</si>
  <si>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</si>
  <si>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</si>
  <si>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</si>
  <si>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</si>
  <si>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</si>
  <si>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</si>
  <si>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ResDHW</t>
  </si>
  <si>
    <t>Units Per Home</t>
  </si>
  <si>
    <t>Source</t>
  </si>
  <si>
    <t>RBSA</t>
  </si>
  <si>
    <t>avg home</t>
  </si>
  <si>
    <t>sq ft</t>
  </si>
  <si>
    <t>sqft</t>
  </si>
  <si>
    <t>New</t>
  </si>
  <si>
    <t>Methodology</t>
  </si>
  <si>
    <t>Retrofit</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</si>
  <si>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</si>
  <si>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</si>
  <si>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</si>
  <si>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</si>
  <si>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</si>
  <si>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</si>
  <si>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</si>
  <si>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</si>
  <si>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</si>
  <si>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</si>
  <si>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</si>
  <si>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</si>
  <si>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</si>
  <si>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</si>
  <si>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</si>
  <si>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</si>
  <si>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</si>
  <si>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</si>
  <si>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</si>
  <si>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</si>
  <si>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</si>
  <si>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</si>
  <si>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</si>
  <si>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</si>
  <si>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</si>
  <si>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</si>
  <si>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</si>
  <si>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</si>
  <si>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</si>
  <si>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</si>
  <si>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</si>
  <si>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</si>
  <si>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</si>
  <si>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</si>
  <si>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</si>
  <si>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</si>
  <si>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</si>
  <si>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</si>
  <si>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</si>
  <si>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</si>
  <si>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</si>
  <si>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</si>
  <si>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</si>
  <si>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</si>
  <si>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</si>
  <si>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</si>
  <si>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</si>
  <si>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</si>
  <si>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</si>
  <si>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</si>
  <si>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</si>
  <si>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</si>
  <si>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</si>
  <si>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</si>
  <si>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</si>
  <si>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</si>
  <si>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</si>
  <si>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</si>
  <si>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</si>
  <si>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</si>
  <si>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</si>
  <si>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</si>
  <si>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</si>
  <si>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</si>
  <si>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</si>
  <si>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</si>
  <si>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</si>
  <si>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</si>
  <si>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</si>
  <si>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</si>
  <si>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</si>
  <si>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</si>
  <si>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</si>
  <si>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</si>
  <si>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</si>
  <si>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</si>
  <si>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</si>
  <si>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</si>
  <si>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</si>
  <si>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</si>
  <si>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</si>
  <si>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</si>
  <si>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</si>
  <si>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</si>
  <si>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</si>
  <si>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</si>
  <si>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SC_New</t>
  </si>
  <si>
    <t>CALCULATE # HOMES NOT ADDRESSED BY MEASURE AND ADD TO RETROFIT POOL</t>
  </si>
  <si>
    <t># HOMES RESIDUAL &amp; AVAILABLE TO NR/RETROFIT POOL</t>
  </si>
  <si>
    <t>APPLICABLE NEW STOCK MINUS TREATED</t>
  </si>
  <si>
    <t>Homes</t>
  </si>
  <si>
    <t>Total Residual to NR/Retro Pool</t>
  </si>
  <si>
    <t>UNITS PER HOME</t>
  </si>
  <si>
    <t># HOMES</t>
  </si>
  <si>
    <t>EXISTING HOMES</t>
  </si>
  <si>
    <t>UNTREATED NEW HOMES</t>
  </si>
  <si>
    <t>='[7P Forecasts D1.xlsx]Res Forecast (Base Case)'!$D$5</t>
  </si>
  <si>
    <t>Assumptions</t>
  </si>
  <si>
    <t>2.0 gpm rated</t>
  </si>
  <si>
    <t>1.75 gpm rated</t>
  </si>
  <si>
    <t>1.5 gpm rated</t>
  </si>
  <si>
    <t>Residential Retail</t>
  </si>
  <si>
    <t>lower uptake with lower gpm for retail to address concerns of lower satisfaction at lower flow rates</t>
  </si>
  <si>
    <t>Residential Mail-by-Request</t>
  </si>
  <si>
    <t>changed mail-by-request Install Rate from 60% to 76% based on "PSE 2008LowFlowShowerheadSurveyResults.pdf" as per recommendation</t>
  </si>
  <si>
    <t>Residential Direct Install</t>
  </si>
  <si>
    <t>90% value from 2007 analysis is retained - "SPU Showerhead/Aerator Pilot Program, Summary I: 93% of survey respondents installed and retained one or more showerheads they received. Result rounded down to 90%."</t>
  </si>
  <si>
    <t>%</t>
  </si>
  <si>
    <t>ID</t>
  </si>
  <si>
    <t>MT</t>
  </si>
  <si>
    <t>OR</t>
  </si>
  <si>
    <t>WA</t>
  </si>
  <si>
    <t>MF</t>
  </si>
  <si>
    <t>ecosdatabaserecordsid</t>
  </si>
  <si>
    <t>siteid</t>
  </si>
  <si>
    <t>GeneralNotes</t>
  </si>
  <si>
    <t>SHFlow</t>
  </si>
  <si>
    <t>SHQuantity</t>
  </si>
  <si>
    <t/>
  </si>
  <si>
    <t>2.5 gpm</t>
  </si>
  <si>
    <t>large showerhead, too big for weir. Half of stream measured and doubled.</t>
  </si>
  <si>
    <t>master</t>
  </si>
  <si>
    <t>not measured</t>
  </si>
  <si>
    <t>both showerheads used equally. flow rate of primary is of master bath</t>
  </si>
  <si>
    <t>participant recently soaked master bath showerhead in vinegar to clean mineral deposits.</t>
  </si>
  <si>
    <t xml:space="preserve">additional shower for wheel chair access, no longer used , 2.5 gpm head </t>
  </si>
  <si>
    <t>Showerhead IS 7 gpm roughly. 6+ at a minimum. VERY HIGH FLOW.</t>
  </si>
  <si>
    <t>unmeasured</t>
  </si>
  <si>
    <t>two bathrooms with shower stalls  master bathroom shower stall has two</t>
  </si>
  <si>
    <t>HEAD TO LARGE TO GET ACCURATE READING ON WATER PICK SHOWER HEAD</t>
  </si>
  <si>
    <t>svy_wt</t>
  </si>
  <si>
    <t>state</t>
  </si>
  <si>
    <t>Avg # Showerheads</t>
  </si>
  <si>
    <t>Weight</t>
  </si>
  <si>
    <t>unit_it</t>
  </si>
  <si>
    <t>Site_pWeight</t>
  </si>
  <si>
    <t>Concat</t>
  </si>
  <si>
    <t>Showerhead Retrofit with 2.0 GPM or lower showerheads</t>
  </si>
  <si>
    <t>Electric</t>
  </si>
  <si>
    <t>Gas</t>
  </si>
  <si>
    <t>Savings</t>
  </si>
  <si>
    <t>ResGASDHW</t>
  </si>
  <si>
    <t>Sections</t>
  </si>
  <si>
    <t>CELL COLOR KEY</t>
  </si>
  <si>
    <t>VALUES THAT CAN BE ADJUSTED TO AFFECT ANALYSIS</t>
  </si>
  <si>
    <t>VALUES THAT ARE COMPUTED OR COME DIRECTLY FOR DATA SOURCE</t>
  </si>
  <si>
    <t>Showerhead Costs</t>
  </si>
  <si>
    <t>Installation Rates</t>
  </si>
  <si>
    <t>Water Heater Parameters</t>
  </si>
  <si>
    <t>back to top</t>
  </si>
  <si>
    <t>Steady State Efficiency</t>
  </si>
  <si>
    <t>Conversion Factors</t>
  </si>
  <si>
    <t>kWh per gallon degF</t>
  </si>
  <si>
    <t>btu per gallon degF</t>
  </si>
  <si>
    <t>Top figure from Section 2.5.1 (p. 11) of "Energy Efficient Showerhead and Faucet Aerator Metering Study" (PSE/BPA/SBW 1994) Bottom figure taken from "Single Family 2007 Showerhead Kit Impact Evaluation". SBW Consulting; Seattle City Light. October 2008 (p.21-22)</t>
  </si>
  <si>
    <t>therms per gallon degF</t>
  </si>
  <si>
    <t>Electric Water Heating Saturation</t>
  </si>
  <si>
    <t>Residential</t>
  </si>
  <si>
    <t>Actual Flow Rate as a Percentage of Rated Flow Rate</t>
  </si>
  <si>
    <t>Shower Duration</t>
  </si>
  <si>
    <t>Flow Rate</t>
  </si>
  <si>
    <t>Duration</t>
  </si>
  <si>
    <t>Hot Water Percentage</t>
  </si>
  <si>
    <t>Shower duration at 2.5 gpm from 2000 Seattle End-use Study.  Increased duration at lower flow rates reflects range of anecdotal evidence - rigorous emprical evidence unavailable</t>
  </si>
  <si>
    <t>Seattle Post-Retro Shower Duration of 7.84 minutes is used, from Table 3.8 from p. 61 of "Seattle Home Water Conservation Study. The Impacts of High Efficiency Plumbing Fixture Retrofits in Single-Family Homes". Submitted to: Seattle Public Utilities and the U.S. EPA. Prepared by: Peter W. Mayer, William B. DeOreo, David M. Lewis of Aquacraft, Inc. (December 2000)</t>
  </si>
  <si>
    <t>Rated gpm</t>
  </si>
  <si>
    <t>In situ gpm</t>
  </si>
  <si>
    <t>% of Rated</t>
  </si>
  <si>
    <t>minutes per shower</t>
  </si>
  <si>
    <t>% of baseline duration</t>
  </si>
  <si>
    <t>Temperature (degF)</t>
  </si>
  <si>
    <t>Hot Water Percentages</t>
  </si>
  <si>
    <t>2.5 and 2.0 gpm hot water percentages from:</t>
  </si>
  <si>
    <r>
      <t xml:space="preserve">US EPA. (2005). </t>
    </r>
    <r>
      <rPr>
        <i/>
        <sz val="11"/>
        <rFont val="Calibri"/>
        <family val="2"/>
      </rPr>
      <t>Water and Energy Savings from High Efficiency Fixtures and Appliances in Single Family Homes.</t>
    </r>
    <r>
      <rPr>
        <sz val="11"/>
        <rFont val="Calibri"/>
        <family val="2"/>
      </rPr>
      <t xml:space="preserve"> (Also duration)</t>
    </r>
  </si>
  <si>
    <t>1.75 and 1.5 gpm hot water percentages follow the linear relationship between in situ flow rate and hot water percentage from the above datapoints</t>
  </si>
  <si>
    <t>Flow rate</t>
  </si>
  <si>
    <t>90% of rated flow rate for 2.5 and 2.0 gpm showerheads typical of field studies reviewed; 2.20 from 2008 Seattle study</t>
  </si>
  <si>
    <t>used same % of rated flow at lower flow rates assumed pressure compensating shower head to avoid ubearable low flow rate where water pressure is very low (i.e. &lt;40 psi)</t>
  </si>
  <si>
    <t>In-Situ flow rate % (FOR EFFICIENT CASE SHOWERHEADS) based off results shown on (p. 19) of "Single Family 2007 Showerhead Kit Impact Evaluation". SBW Consulting; Seattle City Light. October 2008. They compared the In-situ mean flow rate of 1.82 gpm and compared it to the rated flow rate of 2.0 gpm - 1.82 / 2.0 = 0.91. RTF chose 90%. Note that this is applied to the efficient showerheads' flow rate, and not the baseline (2.5 gpm) flow rate.</t>
  </si>
  <si>
    <t>Wastewater</t>
  </si>
  <si>
    <t>City</t>
  </si>
  <si>
    <t>Population</t>
  </si>
  <si>
    <t>Water
($/1000 gal)</t>
  </si>
  <si>
    <t>Sewer
($/1000 gal)</t>
  </si>
  <si>
    <t>Total
($/1000 gal)</t>
  </si>
  <si>
    <t>difference between residential and commercial rates was insignificant, same rates use for both sectors</t>
  </si>
  <si>
    <t>Pre-Retrofit (2.5 gpm showerhead) and Post-Retrofit (2.0 gpm showerhead) hot water mix %s were pulled from: Table 2.5 (p. 35) and Table 3.4 (p. 53) of "Seattle Home Water Conservation Study. The Impacts of High Efficiency Plumbing Fixture Retrofits in Single-Family Homes". Submitted to: Seattle Public Utilities and the U.S. EPA. Prepared by: Peter W. Mayer, William B. DeOreo, David M. Lewis of Aquacraft, Inc. (December 2000)</t>
  </si>
  <si>
    <t>Water Treatment Electricity Savings</t>
  </si>
  <si>
    <t>Energy intensity of water, including treatment, pumping, and wastewater treatment</t>
  </si>
  <si>
    <t>kWh/1000 gallons</t>
  </si>
  <si>
    <t>Value retained from 2007 analysis.  For reference, national average wastewater treatment energy intensity is 1.2 kWh/1000 gallons</t>
  </si>
  <si>
    <t>Burton, Franklin L., 1996, Water and Wastewater Industries: Characteristics and Energy Management</t>
  </si>
  <si>
    <t>Opportunities. (Burton Engineering) Los Altos, CA, Report CR-106941, Electric Power Research Institute</t>
  </si>
  <si>
    <t>Report, p.2-45.</t>
  </si>
  <si>
    <t>and distribution energy intensities can range from 0.5 kWh/1000 gallons to 10 kWh/1000 gallons</t>
  </si>
  <si>
    <t>residential - retail</t>
  </si>
  <si>
    <t>residential - direct install</t>
  </si>
  <si>
    <t>Satisfactory single-function low flow showerheads can cost as little as $20, retail</t>
  </si>
  <si>
    <t>multifamily - direct install</t>
  </si>
  <si>
    <t>From PSE, May, 2011</t>
  </si>
  <si>
    <t>Direct install cost assumes 20 minutes per showerhead and a labor rate of $20/hour</t>
  </si>
  <si>
    <t>Taken from the Code of Federal Regulations Section 430.32 [10CFR430.32-- Subpart C_Energy and Water Conservation Standards]</t>
  </si>
  <si>
    <t>Residential Showerhead Replacement</t>
  </si>
  <si>
    <t>Baseline and Post-Retrofit Analyses</t>
  </si>
  <si>
    <t>Baseline</t>
  </si>
  <si>
    <t>Post-Retrofit</t>
  </si>
  <si>
    <t>Application</t>
  </si>
  <si>
    <t>Primary Shower</t>
  </si>
  <si>
    <t>Secondary Shower</t>
  </si>
  <si>
    <t>Any Shower</t>
  </si>
  <si>
    <t>Showerhead rated flow rate at 80 psi</t>
  </si>
  <si>
    <t>2.0 gpm</t>
  </si>
  <si>
    <t>1.75 gpm</t>
  </si>
  <si>
    <t>1.5 gpm</t>
  </si>
  <si>
    <t>Daily showers per Person (showers per person per day)</t>
  </si>
  <si>
    <t>*Annualized Occupancy (days per year)</t>
  </si>
  <si>
    <t>*Persons per Showerhead (people per showerhead)</t>
  </si>
  <si>
    <t>Average Shower Length (min per shower)</t>
  </si>
  <si>
    <t>Showerhead Utilization (min per year)</t>
  </si>
  <si>
    <t>Shower Flow Rate (gpm)</t>
  </si>
  <si>
    <t>Shower Water from Hot Tap (%)</t>
  </si>
  <si>
    <t>*Water heater outlet temperature minus inlet temperature (°F)</t>
  </si>
  <si>
    <r>
      <t>Shower Temperature Setpoint (</t>
    </r>
    <r>
      <rPr>
        <sz val="10"/>
        <rFont val="Calibri"/>
        <family val="2"/>
      </rPr>
      <t>°</t>
    </r>
    <r>
      <rPr>
        <sz val="10"/>
        <rFont val="Arial"/>
        <family val="2"/>
      </rPr>
      <t>F)</t>
    </r>
  </si>
  <si>
    <t>*Water Heater Heating Energy  (kWh per °F per gallon)</t>
  </si>
  <si>
    <t>*Water Heater Heating Energy  (therms per °F per gallon)</t>
  </si>
  <si>
    <t>Total Gallons per Year</t>
  </si>
  <si>
    <t>Water Cost ($/year)</t>
  </si>
  <si>
    <t>Water and Sewer Energy (kWh/year)</t>
  </si>
  <si>
    <t>Hot Water Gallons per Year</t>
  </si>
  <si>
    <t>Hot Water Gallons degF per year</t>
  </si>
  <si>
    <t>Electric Water Heating</t>
  </si>
  <si>
    <t>Seattle Post-Retro Average # of residents of 2.51 is used, from Table 3.3 from p. 51 of "Seattle Home Water Conservation Study. The Impacts of High Efficiency Plumbing Fixture Retrofits in Single-Family Homes". Submitted to: Seattle Public Utilities and the U.S. EPA. Prepared by: Peter W. Mayer, William B. DeOreo, David M. Lewis of Aquacraft, Inc. (December 2000)</t>
  </si>
  <si>
    <t>Annual kWh</t>
  </si>
  <si>
    <t>Gas Water Heating</t>
  </si>
  <si>
    <t>Annual therms</t>
  </si>
  <si>
    <t>All Water Heating</t>
  </si>
  <si>
    <t>Consumption and Gross Savings</t>
  </si>
  <si>
    <t>Water (gallons/year)</t>
  </si>
  <si>
    <t>RTF decision to use 75 degF as the delta temperature between cold inlet and hot outlet was informed by the above - Table 3-5 (p. 21) of "Energy Efficient Showerhead and Faucet Aerator Metering Study - Single Family Residences". SBW Consulting, Inc.; Puget Sound Power and Light. December 1994. RTF uses the mean hot water and cold water temperatures of 128.0 degF and 55.1 degF, respectively, so that when the hot water mix % is applied, a shower temperature of 108.4 degF is calculated (SPU/EPA 2000). However, for energy calculation purposes, 75degF delta temperature is used.</t>
  </si>
  <si>
    <t>% Savings</t>
  </si>
  <si>
    <t>In-Situ Baseline Showerhead Flow Rate (2.2 gpm) taken from: Table 16 (p. 19) of "Single Family 2007 Showerhead Kit Impact Evaluation". SBW Consulting; Seattle City Light. October 2008. NOTE that the rated showerhead flow rate of the 'Existing Showerhead' in this table was 2.5 gpm. The screen shot below explains this Baseline Rated Showerhead Flowrate and is from a preceding section of the same page that Table 16 was pulled from.</t>
  </si>
  <si>
    <t>Hot Water (gallons/year)</t>
  </si>
  <si>
    <t>Hot Water (gallons degF/year)</t>
  </si>
  <si>
    <t>Energy - Electric Water Heater (kWh/year)</t>
  </si>
  <si>
    <t>Energy - Gas Water Heater (therms/year)</t>
  </si>
  <si>
    <t>The tables above were used for the showering frequency for primary, secondary, and any shower type. Uses "Installers Only" showering frequency mean from top table and mean household size from the bottom table. [ex. Primary shower frequency (showers/person/day) = 9.98 showers/week*house / 7 (days/week) / 2.6 (persons/house) =~ 0.55 showers/person*day] The top table "Household Showering and Bathing" was pulled from "Section I. Findings that Inform Calculations of Energy and Water Savings" (p. 39) and the bottom table "Characteristics of Seattle Sample" was pulled from "Section II. Methods" (p. 4) of the following report: "Survey Research for the Home Water Savers Program: Phase I Report". Prepared by Karen A. Brattesani, Research Innovations. Prepared for Seattle City Lights (April 1993)</t>
  </si>
  <si>
    <t>Energy - Any Water Heater (kWh/year)</t>
  </si>
  <si>
    <t>Energy - Any Water Heater (therms/year)</t>
  </si>
  <si>
    <t>Energy - from Water and Sewer (kWh/year)</t>
  </si>
  <si>
    <t>Summary of Consumption and Gross Savings</t>
  </si>
  <si>
    <t>Gross Savings</t>
  </si>
  <si>
    <t>Water ($/year)</t>
  </si>
  <si>
    <t>Water (kWh/year)</t>
  </si>
  <si>
    <t>Hot Water (gallons degF / year)</t>
  </si>
  <si>
    <t>Energy - Electric Water Heater (kwh/year)</t>
  </si>
  <si>
    <t>Energy - Any Water Heater (kwh/year)</t>
  </si>
  <si>
    <t>Rated Flow Rate</t>
  </si>
  <si>
    <t>2_00gpm</t>
  </si>
  <si>
    <t>1_75gpm</t>
  </si>
  <si>
    <t>1_50gpm</t>
  </si>
  <si>
    <t>Manuf Homes</t>
  </si>
  <si>
    <t>Baseline saturation</t>
  </si>
  <si>
    <t>Make incremental</t>
  </si>
  <si>
    <t>REG_TOTAL_STOCK_HOMES</t>
  </si>
  <si>
    <t>Measure:</t>
  </si>
  <si>
    <t>Item</t>
  </si>
  <si>
    <t>Methods &amp; Sources</t>
  </si>
  <si>
    <t>Note</t>
  </si>
  <si>
    <t>7P Updates</t>
  </si>
  <si>
    <t>Measures Described</t>
  </si>
  <si>
    <t>Energy Savings Calculation Basis</t>
  </si>
  <si>
    <t>None</t>
  </si>
  <si>
    <t>Applicable Stock</t>
  </si>
  <si>
    <t>Baseline Saturation</t>
  </si>
  <si>
    <t>Baseline HVAC Loads</t>
  </si>
  <si>
    <t>NA</t>
  </si>
  <si>
    <t>Permutations</t>
  </si>
  <si>
    <t>Costs</t>
  </si>
  <si>
    <t>Measure Life</t>
  </si>
  <si>
    <t>Savings Shape</t>
  </si>
  <si>
    <t>Res DHW</t>
  </si>
  <si>
    <t>Achievability Ramp Rate</t>
  </si>
  <si>
    <t>Low-flow Showerhead</t>
  </si>
  <si>
    <t>Showerheads with flow rate less than 2.5GPM</t>
  </si>
  <si>
    <t># Showers per Home  from RBSA</t>
  </si>
  <si>
    <t>% saturation of LF showerheads from RBSA</t>
  </si>
  <si>
    <t>2.0, 1.75, 1.5GPM</t>
  </si>
  <si>
    <t>RTF ResShowerheads_v2.1</t>
  </si>
  <si>
    <t xml:space="preserve">this is the value used in the 2007 analysis. Adjusted by cost deflator.  </t>
  </si>
  <si>
    <t>RTF assumption</t>
  </si>
  <si>
    <t>Applied inflator from 2007 -&gt; 2012</t>
  </si>
  <si>
    <t>Based on 2007 analysis for retail channel</t>
  </si>
  <si>
    <t>Retro or LO</t>
  </si>
  <si>
    <t>Early Retrofit Parameters</t>
  </si>
  <si>
    <t>R or L</t>
  </si>
  <si>
    <t>Savings 2
(kWh)</t>
  </si>
  <si>
    <t>Remaining
Life (yrs)</t>
  </si>
  <si>
    <t>Salvage Value ($)</t>
  </si>
  <si>
    <t>R</t>
  </si>
  <si>
    <t>aMW</t>
  </si>
  <si>
    <t>Existing</t>
  </si>
  <si>
    <t>R-All-WH-ERWH-All-All-R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</si>
  <si>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</si>
  <si>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</si>
  <si>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</si>
  <si>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</si>
  <si>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</si>
  <si>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</si>
  <si>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</si>
  <si>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</si>
  <si>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</si>
  <si>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</si>
  <si>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</si>
  <si>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Marginal Costs and Savings Shape File</t>
  </si>
  <si>
    <t>6P MidC Final (with carbon)</t>
  </si>
  <si>
    <t>Customer</t>
  </si>
  <si>
    <t>Wholesale Elec</t>
  </si>
  <si>
    <t>Retail Elec</t>
  </si>
  <si>
    <t>Nat Gas</t>
  </si>
  <si>
    <t>Program Life (yrs)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</si>
  <si>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</si>
  <si>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</si>
  <si>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</si>
  <si>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</si>
  <si>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</si>
  <si>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</si>
  <si>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</si>
  <si>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</si>
  <si>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</si>
  <si>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</si>
  <si>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</si>
  <si>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</si>
  <si>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</si>
  <si>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</si>
  <si>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</si>
  <si>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</si>
  <si>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</si>
  <si>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</si>
  <si>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</si>
  <si>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</si>
  <si>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</si>
  <si>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</si>
  <si>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</si>
  <si>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</si>
  <si>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</si>
  <si>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</si>
  <si>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</si>
  <si>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</si>
  <si>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</si>
  <si>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</si>
  <si>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</si>
  <si>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</si>
  <si>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</si>
  <si>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</si>
  <si>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</si>
  <si>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</si>
  <si>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</si>
  <si>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</si>
  <si>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</si>
  <si>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</si>
  <si>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</si>
  <si>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</si>
  <si>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</si>
  <si>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</si>
  <si>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</si>
  <si>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</si>
  <si>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</si>
  <si>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</si>
  <si>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</si>
  <si>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</si>
  <si>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</si>
  <si>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</si>
  <si>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</si>
  <si>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</si>
  <si>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</si>
  <si>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</si>
  <si>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</si>
  <si>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</si>
  <si>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</si>
  <si>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</si>
  <si>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</si>
  <si>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</si>
  <si>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</si>
  <si>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</si>
  <si>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</si>
  <si>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</si>
  <si>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</si>
  <si>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</si>
  <si>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</si>
  <si>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</si>
  <si>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</si>
  <si>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</si>
  <si>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</si>
  <si>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</si>
  <si>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</si>
  <si>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</si>
  <si>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</si>
  <si>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</si>
  <si>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</si>
  <si>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</si>
  <si>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</si>
  <si>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</si>
  <si>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</si>
  <si>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</si>
  <si>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</si>
  <si>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</si>
  <si>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</si>
  <si>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</si>
  <si>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</si>
  <si>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</si>
  <si>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</si>
  <si>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</si>
  <si>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</si>
  <si>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</si>
  <si>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</si>
  <si>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</si>
  <si>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</si>
  <si>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</si>
  <si>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</si>
  <si>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</si>
  <si>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</si>
  <si>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</si>
  <si>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</si>
  <si>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</si>
  <si>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</si>
  <si>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</si>
  <si>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</si>
  <si>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</si>
  <si>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</si>
  <si>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</si>
  <si>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</si>
  <si>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</si>
  <si>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</si>
  <si>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</si>
  <si>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</si>
  <si>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</si>
  <si>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</si>
  <si>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</si>
  <si>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</si>
  <si>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</si>
  <si>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</si>
  <si>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</si>
  <si>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</si>
  <si>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</si>
  <si>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</si>
  <si>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</si>
  <si>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</si>
  <si>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</si>
  <si>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</si>
  <si>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</si>
  <si>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</si>
  <si>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</si>
  <si>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</si>
  <si>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</si>
  <si>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</si>
  <si>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</si>
  <si>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</si>
  <si>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</si>
  <si>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</si>
  <si>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</si>
  <si>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</si>
  <si>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</si>
  <si>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</si>
  <si>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</si>
  <si>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</si>
  <si>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</si>
  <si>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</si>
  <si>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</si>
  <si>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</si>
  <si>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</si>
  <si>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</si>
  <si>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</si>
  <si>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</si>
  <si>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</si>
  <si>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</si>
  <si>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</si>
  <si>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</si>
  <si>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</si>
  <si>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savingsYear</t>
  </si>
  <si>
    <t>Sector</t>
  </si>
  <si>
    <t>From 6 going on 7 workbook</t>
  </si>
  <si>
    <t>Portion of potential captured in 2012</t>
  </si>
  <si>
    <t>6P eff unit was 2.0 GPM; 7P goes down to 1.5 GPM</t>
  </si>
  <si>
    <t>significantly higher sat of LF SH in 7P (&gt;40%) compared to 6P (5%)</t>
  </si>
  <si>
    <t>RBSA &amp; NEEA metering for ERWH</t>
  </si>
  <si>
    <t>High activity in programs, inexpensive</t>
  </si>
  <si>
    <t>6P used 5-yr Retro</t>
  </si>
  <si>
    <t>Waste Water Treatment Facility Impacts</t>
  </si>
  <si>
    <t>kWh/1000 gal</t>
  </si>
  <si>
    <t>HPWH SS efficiency</t>
  </si>
  <si>
    <t>based on % less than 55gal</t>
  </si>
  <si>
    <t>HPWH</t>
  </si>
  <si>
    <t>based on % greater than 55gal</t>
  </si>
  <si>
    <t>nyWH</t>
  </si>
  <si>
    <t>RTF Engineering calc of savings, % electric water heater;</t>
  </si>
  <si>
    <t xml:space="preserve"> added in iteration for 1.5GPM for HPWH using steady state efficiency factor of 200%</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</si>
  <si>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</si>
  <si>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</si>
  <si>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</si>
  <si>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</si>
  <si>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</si>
  <si>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</si>
  <si>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</si>
  <si>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</si>
  <si>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</si>
  <si>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</si>
  <si>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</si>
  <si>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</si>
  <si>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</si>
  <si>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</si>
  <si>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</si>
  <si>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</si>
  <si>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</si>
  <si>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</si>
  <si>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</si>
  <si>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</si>
  <si>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</si>
  <si>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</si>
  <si>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</si>
  <si>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</si>
  <si>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</si>
  <si>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</si>
  <si>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</si>
  <si>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</si>
  <si>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</si>
  <si>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</si>
  <si>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</si>
  <si>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</si>
  <si>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</si>
  <si>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</si>
  <si>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</si>
  <si>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</si>
  <si>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</si>
  <si>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Block 2: 0-10 mills/kWh</t>
  </si>
  <si>
    <t>Ramp Rate</t>
  </si>
  <si>
    <t>Resource Type</t>
  </si>
  <si>
    <t>Measure Category</t>
  </si>
  <si>
    <t>End Use</t>
  </si>
  <si>
    <t>kW per unit</t>
  </si>
  <si>
    <t>kWh per unit</t>
  </si>
  <si>
    <t>TRC Net Levelized Cost (Net of All Benefits)</t>
  </si>
  <si>
    <t>R-All-WH-HPWH-All-All-R</t>
  </si>
  <si>
    <t>End Use:</t>
  </si>
  <si>
    <t>SF Showerhead Replacement_2_00gpm_Any Shower_ Any Water Heating</t>
  </si>
  <si>
    <t>SF Showerhead Replacement_1_75gpm_Any Shower_ Any Water Heating</t>
  </si>
  <si>
    <t>SF Showerhead Replacement_1_50gpm_Any Shower_ Any Water Heating</t>
  </si>
  <si>
    <t>MF Showerhead Replacement_2_00gpm_Any Shower_ Any Water Heating</t>
  </si>
  <si>
    <t>MF Showerhead Replacement_1_75gpm_Any Shower_ Any Water Heating</t>
  </si>
  <si>
    <t>MF Showerhead Replacement_1_50gpm_Any Shower_ Any Water Heating</t>
  </si>
  <si>
    <t>MH Showerhead Replacement_2_00gpm_Any Shower_ Any Water Heating</t>
  </si>
  <si>
    <t>MH Showerhead Replacement_1_75gpm_Any Shower_ Any Water Heating</t>
  </si>
  <si>
    <t>MH Showerhead Replacement_1_50gpm_Any Shower_ Any Water Heating</t>
  </si>
  <si>
    <t>SF Showerhead Replace_1_50GPM_any shower_HPWH</t>
  </si>
  <si>
    <t>MH Showerhead Replace_1_50GPM_any shower_HPWH</t>
  </si>
  <si>
    <t>Truncate measure name, add HPWH iteration just for 1.5GPM, SF and MH</t>
  </si>
  <si>
    <t>SF Showerhead Replace_2_00gpm_Any Shower_ AnyWH</t>
  </si>
  <si>
    <t>MF Showerhead Replace_2_00gpm_Any Shower_ AnyWH</t>
  </si>
  <si>
    <t>MH Showerhead Replace_2_00gpm_Any Shower_ AnyWH</t>
  </si>
  <si>
    <t>SF Showerhead Replace_1_75gpm_Any Shower_ AnyWH</t>
  </si>
  <si>
    <t>MF Showerhead Replace_1_75gpm_Any Shower_ AnyWH</t>
  </si>
  <si>
    <t>MH Showerhead Replace_1_75gpm_Any Shower_ AnyWH</t>
  </si>
  <si>
    <t>SF Showerhead Replace_1_50gpm_Any Shower_ AnyWH</t>
  </si>
  <si>
    <t>MF Showerhead Replace_1_50gpm_Any Shower_ AnyWH</t>
  </si>
  <si>
    <t>MH Showerhead Replace_1_50gpm_Any Shower_ AnyWH</t>
  </si>
  <si>
    <t>BPA Sector</t>
  </si>
  <si>
    <t>BPA EndUse</t>
  </si>
  <si>
    <t>BPA Category</t>
  </si>
  <si>
    <t>BPA TAP</t>
  </si>
  <si>
    <t>SumOfkWhBusbar</t>
  </si>
  <si>
    <t>SumOfaMWBusbar</t>
  </si>
  <si>
    <t>Water Heating</t>
  </si>
  <si>
    <t>Water Using Devices</t>
  </si>
  <si>
    <t>Showerheads</t>
  </si>
  <si>
    <t>Total for 2012 &amp; 2013:</t>
  </si>
  <si>
    <t>113 = 'SC-Retro'!AA76, prior to adjusting baseline</t>
  </si>
  <si>
    <t>12MED</t>
  </si>
  <si>
    <t>7th Plan estimate of energy consumption</t>
  </si>
  <si>
    <t>Water supply plus Wastewater embedded energy</t>
  </si>
  <si>
    <t>Updated from 7P analysis</t>
  </si>
  <si>
    <t>from RTF SIW_v2_2</t>
  </si>
  <si>
    <t>in 2012 dollars for combined water &amp; wastewater price (per 1000gals)</t>
  </si>
  <si>
    <t>*Persons per Showerhead (people per home)</t>
  </si>
  <si>
    <t># of People per Home</t>
  </si>
  <si>
    <t># occupants per home</t>
  </si>
  <si>
    <t>Friday, 6 March , 2015 at 1:52 PM</t>
  </si>
  <si>
    <t>Total Max Potential (aMW)</t>
  </si>
</sst>
</file>

<file path=xl/styles.xml><?xml version="1.0" encoding="utf-8"?>
<styleSheet xmlns="http://schemas.openxmlformats.org/spreadsheetml/2006/main">
  <numFmts count="18">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0000"/>
    <numFmt numFmtId="170" formatCode="0.0%"/>
    <numFmt numFmtId="171" formatCode="&quot;$&quot;#,##0.00"/>
    <numFmt numFmtId="172" formatCode="#,##0.0"/>
    <numFmt numFmtId="173" formatCode="mmm\-yyyy"/>
    <numFmt numFmtId="174" formatCode="0.0;[Red]\-0.0"/>
    <numFmt numFmtId="175" formatCode="\ "/>
    <numFmt numFmtId="176" formatCode="0.000"/>
  </numFmts>
  <fonts count="77">
    <font>
      <sz val="10"/>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b/>
      <sz val="11"/>
      <name val="Calibri"/>
      <family val="2"/>
    </font>
    <font>
      <sz val="11"/>
      <name val="Calibri"/>
      <family val="2"/>
    </font>
    <font>
      <sz val="10"/>
      <name val="Arial"/>
      <family val="2"/>
    </font>
    <font>
      <u/>
      <sz val="9"/>
      <color theme="1"/>
      <name val="Arial"/>
      <family val="2"/>
    </font>
    <font>
      <sz val="10"/>
      <name val="MS Sans Serif"/>
      <family val="2"/>
    </font>
    <font>
      <sz val="11"/>
      <color indexed="8"/>
      <name val="Calibri"/>
      <family val="2"/>
    </font>
    <font>
      <sz val="10"/>
      <color indexed="8"/>
      <name val="Arial"/>
      <family val="2"/>
    </font>
    <font>
      <b/>
      <i/>
      <sz val="11"/>
      <name val="Arial"/>
      <family val="2"/>
    </font>
    <font>
      <sz val="11"/>
      <color indexed="8"/>
      <name val="Calibri"/>
      <family val="2"/>
    </font>
    <font>
      <b/>
      <sz val="13"/>
      <color indexed="62"/>
      <name val="Calibri"/>
      <family val="2"/>
    </font>
    <font>
      <u/>
      <sz val="10"/>
      <color indexed="12"/>
      <name val="Arial"/>
      <family val="2"/>
    </font>
    <font>
      <u/>
      <sz val="7"/>
      <color indexed="12"/>
      <name val="Arial"/>
      <family val="2"/>
    </font>
    <font>
      <b/>
      <i/>
      <sz val="11"/>
      <name val="Calibri"/>
      <family val="2"/>
    </font>
    <font>
      <b/>
      <sz val="11"/>
      <color indexed="8"/>
      <name val="Calibri"/>
      <family val="2"/>
    </font>
    <font>
      <b/>
      <i/>
      <sz val="11"/>
      <color indexed="8"/>
      <name val="Calibri"/>
      <family val="2"/>
    </font>
    <font>
      <sz val="11"/>
      <color indexed="10"/>
      <name val="Calibri"/>
      <family val="2"/>
    </font>
    <font>
      <i/>
      <sz val="11"/>
      <name val="Calibri"/>
      <family val="2"/>
    </font>
    <font>
      <b/>
      <sz val="10"/>
      <color indexed="10"/>
      <name val="Arial"/>
      <family val="2"/>
    </font>
    <font>
      <sz val="10"/>
      <name val="Calibri"/>
      <family val="2"/>
    </font>
    <font>
      <i/>
      <sz val="11"/>
      <color indexed="8"/>
      <name val="Calibri"/>
      <family val="2"/>
    </font>
    <font>
      <i/>
      <sz val="10"/>
      <name val="Arial"/>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10"/>
      <color indexed="10"/>
      <name val="Arial"/>
      <family val="2"/>
    </font>
    <font>
      <sz val="9"/>
      <color indexed="81"/>
      <name val="Tahoma"/>
      <family val="2"/>
    </font>
    <font>
      <b/>
      <sz val="11"/>
      <color theme="0"/>
      <name val="Calibri"/>
      <family val="2"/>
      <scheme val="minor"/>
    </font>
    <font>
      <sz val="11"/>
      <color rgb="FFFF0000"/>
      <name val="Calibri"/>
      <family val="2"/>
    </font>
    <font>
      <b/>
      <sz val="9"/>
      <color indexed="81"/>
      <name val="Tahoma"/>
      <family val="2"/>
    </font>
    <font>
      <b/>
      <sz val="10"/>
      <color theme="0"/>
      <name val="Calibri"/>
      <family val="2"/>
      <scheme val="minor"/>
    </font>
    <font>
      <sz val="10"/>
      <color theme="1"/>
      <name val="Calibri"/>
      <family val="2"/>
      <scheme val="minor"/>
    </font>
  </fonts>
  <fills count="69">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2"/>
        <bgColor indexed="0"/>
      </patternFill>
    </fill>
    <fill>
      <patternFill patternType="solid">
        <fgColor indexed="26"/>
      </patternFill>
    </fill>
    <fill>
      <patternFill patternType="solid">
        <fgColor indexed="45"/>
        <bgColor indexed="64"/>
      </patternFill>
    </fill>
    <fill>
      <patternFill patternType="solid">
        <fgColor indexed="9"/>
        <bgColor indexed="64"/>
      </patternFill>
    </fill>
    <fill>
      <patternFill patternType="solid">
        <fgColor indexed="13"/>
        <bgColor indexed="64"/>
      </patternFill>
    </fill>
    <fill>
      <patternFill patternType="gray0625">
        <bgColor indexed="22"/>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theme="4"/>
        <bgColor theme="4"/>
      </patternFill>
    </fill>
    <fill>
      <patternFill patternType="solid">
        <fgColor theme="4" tint="0.79998168889431442"/>
        <bgColor theme="4" tint="0.79998168889431442"/>
      </patternFill>
    </fill>
  </fills>
  <borders count="6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9"/>
      </left>
      <right style="thick">
        <color indexed="9"/>
      </right>
      <top style="thick">
        <color indexed="9"/>
      </top>
      <bottom style="thick">
        <color indexed="9"/>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22"/>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ck">
        <color indexed="9"/>
      </left>
      <right/>
      <top style="thick">
        <color indexed="9"/>
      </top>
      <bottom/>
      <diagonal/>
    </border>
    <border>
      <left/>
      <right style="thick">
        <color indexed="9"/>
      </right>
      <top style="thick">
        <color indexed="9"/>
      </top>
      <bottom/>
      <diagonal/>
    </border>
    <border>
      <left style="thick">
        <color indexed="9"/>
      </left>
      <right style="thick">
        <color indexed="9"/>
      </right>
      <top/>
      <bottom style="thick">
        <color indexed="9"/>
      </bottom>
      <diagonal/>
    </border>
    <border>
      <left style="thick">
        <color indexed="9"/>
      </left>
      <right/>
      <top/>
      <bottom/>
      <diagonal/>
    </border>
    <border>
      <left style="thick">
        <color indexed="9"/>
      </left>
      <right style="thick">
        <color indexed="9"/>
      </right>
      <top style="thick">
        <color indexed="9"/>
      </top>
      <bottom/>
      <diagonal/>
    </border>
    <border>
      <left style="medium">
        <color indexed="64"/>
      </left>
      <right style="thick">
        <color indexed="9"/>
      </right>
      <top style="medium">
        <color indexed="64"/>
      </top>
      <bottom style="medium">
        <color indexed="64"/>
      </bottom>
      <diagonal/>
    </border>
    <border>
      <left style="thick">
        <color indexed="9"/>
      </left>
      <right style="thick">
        <color indexed="9"/>
      </right>
      <top style="medium">
        <color indexed="64"/>
      </top>
      <bottom style="medium">
        <color indexed="64"/>
      </bottom>
      <diagonal/>
    </border>
    <border>
      <left style="thick">
        <color indexed="9"/>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medium">
        <color indexed="64"/>
      </left>
      <right style="medium">
        <color indexed="64"/>
      </right>
      <top style="medium">
        <color indexed="64"/>
      </top>
      <bottom style="medium">
        <color indexed="64"/>
      </bottom>
      <diagonal/>
    </border>
    <border>
      <left/>
      <right style="thin">
        <color theme="4" tint="0.39997558519241921"/>
      </right>
      <top style="thin">
        <color theme="4" tint="0.39997558519241921"/>
      </top>
      <bottom style="thin">
        <color theme="4" tint="0.39997558519241921"/>
      </bottom>
      <diagonal/>
    </border>
  </borders>
  <cellStyleXfs count="373">
    <xf numFmtId="0" fontId="0" fillId="0" borderId="0">
      <alignment readingOrder="1"/>
    </xf>
    <xf numFmtId="44" fontId="4" fillId="0" borderId="0" applyFont="0" applyFill="0" applyBorder="0" applyAlignment="0" applyProtection="0"/>
    <xf numFmtId="0" fontId="2" fillId="0" borderId="0"/>
    <xf numFmtId="0" fontId="4" fillId="0" borderId="0"/>
    <xf numFmtId="0" fontId="4" fillId="9" borderId="0" applyNumberFormat="0" applyAlignment="0">
      <alignment horizontal="right"/>
    </xf>
    <xf numFmtId="0" fontId="4" fillId="8" borderId="0" applyNumberFormat="0" applyAlignment="0"/>
    <xf numFmtId="167" fontId="14" fillId="0" borderId="0"/>
    <xf numFmtId="0" fontId="15" fillId="0" borderId="0">
      <alignment horizontal="center" wrapText="1"/>
    </xf>
    <xf numFmtId="9" fontId="4" fillId="0" borderId="0" applyFont="0" applyFill="0" applyBorder="0" applyAlignment="0" applyProtection="0"/>
    <xf numFmtId="0" fontId="17" fillId="0" borderId="0"/>
    <xf numFmtId="9" fontId="17" fillId="0" borderId="0" applyFont="0" applyFill="0" applyBorder="0" applyAlignment="0" applyProtection="0"/>
    <xf numFmtId="43" fontId="17" fillId="0" borderId="0" applyFont="0" applyFill="0" applyBorder="0" applyAlignment="0" applyProtection="0"/>
    <xf numFmtId="0" fontId="4" fillId="0" borderId="0">
      <alignment readingOrder="1"/>
    </xf>
    <xf numFmtId="0" fontId="20" fillId="0" borderId="0"/>
    <xf numFmtId="0" fontId="22" fillId="0" borderId="0"/>
    <xf numFmtId="0" fontId="24" fillId="0" borderId="0"/>
    <xf numFmtId="0" fontId="2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0" fontId="4" fillId="8" borderId="0" applyNumberFormat="0" applyAlignment="0"/>
    <xf numFmtId="0" fontId="27" fillId="0" borderId="30" applyNumberFormat="0" applyFill="0" applyAlignment="0" applyProtection="0"/>
    <xf numFmtId="0" fontId="27" fillId="0" borderId="30" applyNumberFormat="0" applyFill="0" applyAlignment="0" applyProtection="0"/>
    <xf numFmtId="0" fontId="28"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4" fillId="0" borderId="0"/>
    <xf numFmtId="0" fontId="26" fillId="0" borderId="0"/>
    <xf numFmtId="0" fontId="4" fillId="0" borderId="0">
      <alignment readingOrder="1"/>
    </xf>
    <xf numFmtId="0" fontId="4" fillId="0" borderId="0"/>
    <xf numFmtId="0" fontId="26" fillId="17" borderId="19" applyNumberFormat="0" applyFont="0" applyAlignment="0" applyProtection="0"/>
    <xf numFmtId="0" fontId="26" fillId="17" borderId="19"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alignment readingOrder="1"/>
    </xf>
    <xf numFmtId="0" fontId="2" fillId="0" borderId="0"/>
    <xf numFmtId="0" fontId="23" fillId="22" borderId="0" applyNumberFormat="0" applyBorder="0" applyAlignment="0" applyProtection="0"/>
    <xf numFmtId="0" fontId="23" fillId="23" borderId="0" applyNumberFormat="0" applyBorder="0" applyAlignment="0" applyProtection="0"/>
    <xf numFmtId="0" fontId="43" fillId="24" borderId="0" applyNumberFormat="0" applyBorder="0" applyAlignment="0" applyProtection="0"/>
    <xf numFmtId="0" fontId="23" fillId="25" borderId="0" applyNumberFormat="0" applyBorder="0" applyAlignment="0" applyProtection="0"/>
    <xf numFmtId="0" fontId="43" fillId="26" borderId="0" applyNumberFormat="0" applyBorder="0" applyAlignment="0" applyProtection="0"/>
    <xf numFmtId="0" fontId="23" fillId="27" borderId="0" applyNumberFormat="0" applyBorder="0" applyAlignment="0" applyProtection="0"/>
    <xf numFmtId="0" fontId="23" fillId="25" borderId="0" applyNumberFormat="0" applyBorder="0" applyAlignment="0" applyProtection="0"/>
    <xf numFmtId="0" fontId="43" fillId="17" borderId="0" applyNumberFormat="0" applyBorder="0" applyAlignment="0" applyProtection="0"/>
    <xf numFmtId="0" fontId="23" fillId="28" borderId="0" applyNumberFormat="0" applyBorder="0" applyAlignment="0" applyProtection="0"/>
    <xf numFmtId="0" fontId="23" fillId="23" borderId="0" applyNumberFormat="0" applyBorder="0" applyAlignment="0" applyProtection="0"/>
    <xf numFmtId="0" fontId="43" fillId="24" borderId="0" applyNumberFormat="0" applyBorder="0" applyAlignment="0" applyProtection="0"/>
    <xf numFmtId="0" fontId="23" fillId="29" borderId="0" applyNumberFormat="0" applyBorder="0" applyAlignment="0" applyProtection="0"/>
    <xf numFmtId="0" fontId="43" fillId="29" borderId="0" applyNumberFormat="0" applyBorder="0" applyAlignment="0" applyProtection="0"/>
    <xf numFmtId="0" fontId="23" fillId="26" borderId="0" applyNumberFormat="0" applyBorder="0" applyAlignment="0" applyProtection="0"/>
    <xf numFmtId="0" fontId="43" fillId="26"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43" fillId="31" borderId="0" applyNumberFormat="0" applyBorder="0" applyAlignment="0" applyProtection="0"/>
    <xf numFmtId="0" fontId="23" fillId="32" borderId="0" applyNumberFormat="0" applyBorder="0" applyAlignment="0" applyProtection="0"/>
    <xf numFmtId="0" fontId="23" fillId="25" borderId="0" applyNumberFormat="0" applyBorder="0" applyAlignment="0" applyProtection="0"/>
    <xf numFmtId="0" fontId="43" fillId="32" borderId="0" applyNumberFormat="0" applyBorder="0" applyAlignment="0" applyProtection="0"/>
    <xf numFmtId="0" fontId="23" fillId="33" borderId="0" applyNumberFormat="0" applyBorder="0" applyAlignment="0" applyProtection="0"/>
    <xf numFmtId="0" fontId="23" fillId="25" borderId="0" applyNumberFormat="0" applyBorder="0" applyAlignment="0" applyProtection="0"/>
    <xf numFmtId="0" fontId="43" fillId="34" borderId="0" applyNumberFormat="0" applyBorder="0" applyAlignment="0" applyProtection="0"/>
    <xf numFmtId="0" fontId="23" fillId="28" borderId="0" applyNumberFormat="0" applyBorder="0" applyAlignment="0" applyProtection="0"/>
    <xf numFmtId="0" fontId="23" fillId="31" borderId="0" applyNumberFormat="0" applyBorder="0" applyAlignment="0" applyProtection="0"/>
    <xf numFmtId="0" fontId="43" fillId="31" borderId="0" applyNumberFormat="0" applyBorder="0" applyAlignment="0" applyProtection="0"/>
    <xf numFmtId="0" fontId="23" fillId="30" borderId="0" applyNumberFormat="0" applyBorder="0" applyAlignment="0" applyProtection="0"/>
    <xf numFmtId="0" fontId="43" fillId="30" borderId="0" applyNumberFormat="0" applyBorder="0" applyAlignment="0" applyProtection="0"/>
    <xf numFmtId="0" fontId="23" fillId="35" borderId="0" applyNumberFormat="0" applyBorder="0" applyAlignment="0" applyProtection="0"/>
    <xf numFmtId="0" fontId="23" fillId="26" borderId="0" applyNumberFormat="0" applyBorder="0" applyAlignment="0" applyProtection="0"/>
    <xf numFmtId="0" fontId="43" fillId="2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2" borderId="0" applyNumberFormat="0" applyBorder="0" applyAlignment="0" applyProtection="0"/>
    <xf numFmtId="0" fontId="44" fillId="25"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25" borderId="0" applyNumberFormat="0" applyBorder="0" applyAlignment="0" applyProtection="0"/>
    <xf numFmtId="0" fontId="44" fillId="34" borderId="0" applyNumberFormat="0" applyBorder="0" applyAlignment="0" applyProtection="0"/>
    <xf numFmtId="0" fontId="44" fillId="38" borderId="0" applyNumberFormat="0" applyBorder="0" applyAlignment="0" applyProtection="0"/>
    <xf numFmtId="0" fontId="44" fillId="31" borderId="0" applyNumberFormat="0" applyBorder="0" applyAlignment="0" applyProtection="0"/>
    <xf numFmtId="0" fontId="44" fillId="31"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39"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9" fillId="40" borderId="0" applyNumberFormat="0" applyBorder="0" applyAlignment="0" applyProtection="0"/>
    <xf numFmtId="0" fontId="9" fillId="41" borderId="0" applyNumberFormat="0" applyBorder="0" applyAlignment="0" applyProtection="0"/>
    <xf numFmtId="0" fontId="11" fillId="42" borderId="0" applyNumberFormat="0" applyBorder="0" applyAlignment="0" applyProtection="0"/>
    <xf numFmtId="0" fontId="44" fillId="43"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9" fillId="44" borderId="0" applyNumberFormat="0" applyBorder="0" applyAlignment="0" applyProtection="0"/>
    <xf numFmtId="0" fontId="9" fillId="45" borderId="0" applyNumberFormat="0" applyBorder="0" applyAlignment="0" applyProtection="0"/>
    <xf numFmtId="0" fontId="11" fillId="45"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9" fillId="47" borderId="0" applyNumberFormat="0" applyBorder="0" applyAlignment="0" applyProtection="0"/>
    <xf numFmtId="0" fontId="9" fillId="48" borderId="0" applyNumberFormat="0" applyBorder="0" applyAlignment="0" applyProtection="0"/>
    <xf numFmtId="0" fontId="11" fillId="48" borderId="0" applyNumberFormat="0" applyBorder="0" applyAlignment="0" applyProtection="0"/>
    <xf numFmtId="0" fontId="44" fillId="49" borderId="0" applyNumberFormat="0" applyBorder="0" applyAlignment="0" applyProtection="0"/>
    <xf numFmtId="0" fontId="44" fillId="25" borderId="0" applyNumberFormat="0" applyBorder="0" applyAlignment="0" applyProtection="0"/>
    <xf numFmtId="0" fontId="44" fillId="49" borderId="0" applyNumberFormat="0" applyBorder="0" applyAlignment="0" applyProtection="0"/>
    <xf numFmtId="0" fontId="9" fillId="50" borderId="0" applyNumberFormat="0" applyBorder="0" applyAlignment="0" applyProtection="0"/>
    <xf numFmtId="0" fontId="9" fillId="50" borderId="0" applyNumberFormat="0" applyBorder="0" applyAlignment="0" applyProtection="0"/>
    <xf numFmtId="0" fontId="11" fillId="51" borderId="0" applyNumberFormat="0" applyBorder="0" applyAlignment="0" applyProtection="0"/>
    <xf numFmtId="0" fontId="44" fillId="38" borderId="0" applyNumberFormat="0" applyBorder="0" applyAlignment="0" applyProtection="0"/>
    <xf numFmtId="0" fontId="44" fillId="52" borderId="0" applyNumberFormat="0" applyBorder="0" applyAlignment="0" applyProtection="0"/>
    <xf numFmtId="0" fontId="44" fillId="52" borderId="0" applyNumberFormat="0" applyBorder="0" applyAlignment="0" applyProtection="0"/>
    <xf numFmtId="0" fontId="9" fillId="53" borderId="0" applyNumberFormat="0" applyBorder="0" applyAlignment="0" applyProtection="0"/>
    <xf numFmtId="0" fontId="9" fillId="41" borderId="0" applyNumberFormat="0" applyBorder="0" applyAlignment="0" applyProtection="0"/>
    <xf numFmtId="0" fontId="11" fillId="54"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9" fillId="55" borderId="0" applyNumberFormat="0" applyBorder="0" applyAlignment="0" applyProtection="0"/>
    <xf numFmtId="0" fontId="9" fillId="56" borderId="0" applyNumberFormat="0" applyBorder="0" applyAlignment="0" applyProtection="0"/>
    <xf numFmtId="0" fontId="11" fillId="57"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5" fillId="25" borderId="0" applyNumberFormat="0" applyBorder="0" applyAlignment="0" applyProtection="0"/>
    <xf numFmtId="0" fontId="45" fillId="28" borderId="0" applyNumberFormat="0" applyBorder="0" applyAlignment="0" applyProtection="0"/>
    <xf numFmtId="0" fontId="45" fillId="25" borderId="0" applyNumberFormat="0" applyBorder="0" applyAlignment="0" applyProtection="0"/>
    <xf numFmtId="0" fontId="46" fillId="31" borderId="49" applyNumberFormat="0" applyAlignment="0" applyProtection="0"/>
    <xf numFmtId="0" fontId="46" fillId="23" borderId="49" applyNumberFormat="0" applyAlignment="0" applyProtection="0"/>
    <xf numFmtId="0" fontId="46" fillId="23" borderId="49" applyNumberFormat="0" applyAlignment="0" applyProtection="0"/>
    <xf numFmtId="0" fontId="47" fillId="59" borderId="50" applyNumberFormat="0" applyAlignment="0" applyProtection="0"/>
    <xf numFmtId="0" fontId="47" fillId="59" borderId="50" applyNumberFormat="0" applyAlignment="0" applyProtection="0"/>
    <xf numFmtId="41" fontId="4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 fillId="9" borderId="0" applyNumberFormat="0" applyAlignment="0">
      <alignment horizontal="right"/>
    </xf>
    <xf numFmtId="0" fontId="49" fillId="60" borderId="0" applyNumberFormat="0" applyBorder="0" applyAlignment="0" applyProtection="0"/>
    <xf numFmtId="0" fontId="49" fillId="61" borderId="0" applyNumberFormat="0" applyBorder="0" applyAlignment="0" applyProtection="0"/>
    <xf numFmtId="0" fontId="49" fillId="62"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27" borderId="0" applyNumberFormat="0" applyBorder="0" applyAlignment="0" applyProtection="0"/>
    <xf numFmtId="0" fontId="51" fillId="27" borderId="0" applyNumberFormat="0" applyBorder="0" applyAlignment="0" applyProtection="0"/>
    <xf numFmtId="0" fontId="52" fillId="0" borderId="51" applyNumberFormat="0" applyFill="0" applyAlignment="0" applyProtection="0"/>
    <xf numFmtId="0" fontId="53" fillId="0" borderId="52" applyNumberFormat="0" applyFill="0" applyAlignment="0" applyProtection="0"/>
    <xf numFmtId="0" fontId="53" fillId="0" borderId="52" applyNumberFormat="0" applyFill="0" applyAlignment="0" applyProtection="0"/>
    <xf numFmtId="0" fontId="54" fillId="0" borderId="53" applyNumberFormat="0" applyFill="0" applyAlignment="0" applyProtection="0"/>
    <xf numFmtId="0" fontId="55" fillId="0" borderId="54" applyNumberFormat="0" applyFill="0" applyAlignment="0" applyProtection="0"/>
    <xf numFmtId="0" fontId="55" fillId="0" borderId="54"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26" borderId="49" applyNumberFormat="0" applyAlignment="0" applyProtection="0"/>
    <xf numFmtId="0" fontId="59" fillId="26" borderId="49" applyNumberFormat="0" applyAlignment="0" applyProtection="0"/>
    <xf numFmtId="0" fontId="60" fillId="0" borderId="55" applyNumberFormat="0" applyFill="0" applyAlignment="0" applyProtection="0"/>
    <xf numFmtId="0" fontId="60" fillId="0" borderId="55" applyNumberFormat="0" applyFill="0" applyAlignment="0" applyProtection="0"/>
    <xf numFmtId="0" fontId="61" fillId="34" borderId="0" applyNumberFormat="0" applyBorder="0" applyAlignment="0" applyProtection="0"/>
    <xf numFmtId="0" fontId="61" fillId="34" borderId="0" applyNumberFormat="0" applyBorder="0" applyAlignment="0" applyProtection="0"/>
    <xf numFmtId="0" fontId="23" fillId="0" borderId="0"/>
    <xf numFmtId="0" fontId="4" fillId="0" borderId="0"/>
    <xf numFmtId="0" fontId="23" fillId="0" borderId="0"/>
    <xf numFmtId="0" fontId="23" fillId="0" borderId="0"/>
    <xf numFmtId="0" fontId="4" fillId="0" borderId="0">
      <alignment readingOrder="1"/>
    </xf>
    <xf numFmtId="0" fontId="4" fillId="0" borderId="0"/>
    <xf numFmtId="0" fontId="4" fillId="0" borderId="0">
      <alignment readingOrder="1"/>
    </xf>
    <xf numFmtId="0" fontId="17" fillId="0" borderId="0"/>
    <xf numFmtId="0" fontId="17" fillId="0" borderId="0"/>
    <xf numFmtId="0" fontId="17" fillId="0" borderId="0"/>
    <xf numFmtId="0" fontId="1" fillId="0" borderId="0"/>
    <xf numFmtId="0" fontId="1" fillId="0" borderId="0"/>
    <xf numFmtId="0" fontId="17" fillId="0" borderId="0"/>
    <xf numFmtId="0" fontId="17" fillId="0" borderId="0"/>
    <xf numFmtId="0" fontId="1" fillId="0" borderId="0"/>
    <xf numFmtId="0" fontId="1" fillId="0" borderId="0"/>
    <xf numFmtId="0" fontId="17" fillId="0" borderId="0"/>
    <xf numFmtId="0" fontId="17" fillId="0" borderId="0"/>
    <xf numFmtId="0" fontId="17" fillId="0" borderId="0"/>
    <xf numFmtId="0" fontId="17" fillId="0" borderId="0"/>
    <xf numFmtId="0" fontId="4" fillId="0" borderId="0"/>
    <xf numFmtId="0" fontId="17" fillId="0" borderId="0"/>
    <xf numFmtId="0" fontId="17" fillId="0" borderId="0"/>
    <xf numFmtId="0" fontId="4" fillId="0" borderId="0">
      <alignment readingOrder="1"/>
    </xf>
    <xf numFmtId="0" fontId="17" fillId="0" borderId="0"/>
    <xf numFmtId="0" fontId="4" fillId="0" borderId="0"/>
    <xf numFmtId="0" fontId="4" fillId="0" borderId="0"/>
    <xf numFmtId="0" fontId="4" fillId="0" borderId="0"/>
    <xf numFmtId="0" fontId="4" fillId="0" borderId="0"/>
    <xf numFmtId="0" fontId="4" fillId="0" borderId="0"/>
    <xf numFmtId="0" fontId="4" fillId="0" borderId="0">
      <alignment readingOrder="1"/>
    </xf>
    <xf numFmtId="0" fontId="4" fillId="0" borderId="0"/>
    <xf numFmtId="0" fontId="23"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alignment readingOrder="1"/>
    </xf>
    <xf numFmtId="0" fontId="4" fillId="0" borderId="0">
      <alignment readingOrder="1"/>
    </xf>
    <xf numFmtId="0" fontId="17" fillId="0" borderId="0"/>
    <xf numFmtId="0" fontId="17" fillId="0" borderId="0"/>
    <xf numFmtId="0" fontId="4" fillId="0" borderId="0">
      <alignment readingOrder="1"/>
    </xf>
    <xf numFmtId="0" fontId="23" fillId="0" borderId="0"/>
    <xf numFmtId="0" fontId="4" fillId="0" borderId="0">
      <alignment readingOrder="1"/>
    </xf>
    <xf numFmtId="0" fontId="17" fillId="0" borderId="0"/>
    <xf numFmtId="0" fontId="17" fillId="0" borderId="0"/>
    <xf numFmtId="0" fontId="4" fillId="0" borderId="0">
      <alignment readingOrder="1"/>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 fillId="0" borderId="0">
      <alignment readingOrder="1"/>
    </xf>
    <xf numFmtId="0" fontId="4" fillId="0" borderId="0"/>
    <xf numFmtId="0" fontId="62" fillId="0" borderId="0"/>
    <xf numFmtId="0" fontId="63" fillId="0" borderId="0"/>
    <xf numFmtId="0" fontId="63" fillId="0" borderId="0"/>
    <xf numFmtId="0" fontId="63" fillId="0" borderId="0"/>
    <xf numFmtId="0" fontId="4" fillId="0" borderId="0"/>
    <xf numFmtId="0" fontId="4" fillId="0" borderId="0"/>
    <xf numFmtId="0" fontId="4" fillId="0" borderId="0"/>
    <xf numFmtId="0" fontId="63" fillId="0" borderId="0"/>
    <xf numFmtId="0" fontId="63" fillId="0" borderId="0"/>
    <xf numFmtId="0" fontId="63" fillId="0" borderId="0"/>
    <xf numFmtId="0" fontId="4" fillId="0" borderId="0"/>
    <xf numFmtId="0" fontId="4" fillId="0" borderId="0"/>
    <xf numFmtId="0" fontId="4" fillId="0" borderId="0"/>
    <xf numFmtId="0" fontId="4" fillId="0" borderId="0">
      <alignment readingOrder="1"/>
    </xf>
    <xf numFmtId="0" fontId="4" fillId="0" borderId="0"/>
    <xf numFmtId="0" fontId="4" fillId="0" borderId="0"/>
    <xf numFmtId="0" fontId="2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17" fillId="0" borderId="0"/>
    <xf numFmtId="0" fontId="4" fillId="0" borderId="0" applyNumberFormat="0" applyFill="0" applyBorder="0" applyAlignment="0" applyProtection="0"/>
    <xf numFmtId="0" fontId="17" fillId="0" borderId="0"/>
    <xf numFmtId="0" fontId="17" fillId="0" borderId="0"/>
    <xf numFmtId="0" fontId="48" fillId="0" borderId="0"/>
    <xf numFmtId="0" fontId="17" fillId="0" borderId="0"/>
    <xf numFmtId="0" fontId="17" fillId="0" borderId="0"/>
    <xf numFmtId="0" fontId="4" fillId="0" borderId="0">
      <alignment readingOrder="1"/>
    </xf>
    <xf numFmtId="0" fontId="17" fillId="0" borderId="0"/>
    <xf numFmtId="0" fontId="17" fillId="0" borderId="0"/>
    <xf numFmtId="0" fontId="17" fillId="0" borderId="0"/>
    <xf numFmtId="0" fontId="17" fillId="0" borderId="0"/>
    <xf numFmtId="0" fontId="17"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4" fillId="0" borderId="0"/>
    <xf numFmtId="0" fontId="17" fillId="0" borderId="0"/>
    <xf numFmtId="0" fontId="17" fillId="0" borderId="0"/>
    <xf numFmtId="0" fontId="4" fillId="0" borderId="0"/>
    <xf numFmtId="0" fontId="23" fillId="0" borderId="0"/>
    <xf numFmtId="0" fontId="23" fillId="0" borderId="0"/>
    <xf numFmtId="0" fontId="17" fillId="0" borderId="0"/>
    <xf numFmtId="0" fontId="22" fillId="0" borderId="0"/>
    <xf numFmtId="0" fontId="23" fillId="0" borderId="0"/>
    <xf numFmtId="0" fontId="23" fillId="0" borderId="0"/>
    <xf numFmtId="0" fontId="23" fillId="0" borderId="0"/>
    <xf numFmtId="0" fontId="23" fillId="0" borderId="0"/>
    <xf numFmtId="0" fontId="4" fillId="0" borderId="0">
      <alignment readingOrder="1"/>
    </xf>
    <xf numFmtId="0" fontId="4" fillId="0" borderId="0">
      <alignment readingOrder="1"/>
    </xf>
    <xf numFmtId="0" fontId="4" fillId="0" borderId="0">
      <alignment readingOrder="1"/>
    </xf>
    <xf numFmtId="0" fontId="4" fillId="17" borderId="19" applyNumberFormat="0" applyFont="0" applyAlignment="0" applyProtection="0"/>
    <xf numFmtId="0" fontId="64" fillId="31" borderId="56" applyNumberFormat="0" applyAlignment="0" applyProtection="0"/>
    <xf numFmtId="0" fontId="64" fillId="23" borderId="56" applyNumberFormat="0" applyAlignment="0" applyProtection="0"/>
    <xf numFmtId="0" fontId="64" fillId="23" borderId="56"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65" fillId="0" borderId="0" applyNumberFormat="0" applyFill="0" applyBorder="0" applyAlignment="0" applyProtection="0"/>
    <xf numFmtId="0" fontId="66" fillId="0" borderId="0"/>
    <xf numFmtId="0" fontId="67" fillId="0" borderId="0"/>
    <xf numFmtId="173" fontId="4" fillId="0" borderId="0" applyFill="0" applyBorder="0" applyAlignment="0" applyProtection="0">
      <alignment wrapText="1"/>
    </xf>
    <xf numFmtId="0" fontId="65"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31" fillId="0" borderId="57" applyNumberFormat="0" applyFill="0" applyAlignment="0" applyProtection="0"/>
    <xf numFmtId="0" fontId="31" fillId="0" borderId="58" applyNumberFormat="0" applyFill="0" applyAlignment="0" applyProtection="0"/>
    <xf numFmtId="0" fontId="64" fillId="0" borderId="58"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9" fillId="0" borderId="0">
      <alignment vertical="center"/>
    </xf>
    <xf numFmtId="43" fontId="4" fillId="0" borderId="0" applyFont="0" applyFill="0" applyBorder="0" applyAlignment="0" applyProtection="0"/>
    <xf numFmtId="0" fontId="4" fillId="0" borderId="0"/>
    <xf numFmtId="0" fontId="4" fillId="0" borderId="0"/>
  </cellStyleXfs>
  <cellXfs count="363">
    <xf numFmtId="0" fontId="0" fillId="0" borderId="0" xfId="0"/>
    <xf numFmtId="0" fontId="3" fillId="0" borderId="0" xfId="2" applyFont="1"/>
    <xf numFmtId="0" fontId="5" fillId="0" borderId="0" xfId="3" applyFont="1"/>
    <xf numFmtId="0" fontId="4" fillId="0" borderId="0" xfId="2" applyFont="1"/>
    <xf numFmtId="5" fontId="4" fillId="0" borderId="0" xfId="2" applyNumberFormat="1" applyFont="1"/>
    <xf numFmtId="164" fontId="4" fillId="0" borderId="0" xfId="2" applyNumberFormat="1" applyFont="1"/>
    <xf numFmtId="164" fontId="5" fillId="0" borderId="0" xfId="2" applyNumberFormat="1" applyFont="1"/>
    <xf numFmtId="0" fontId="0" fillId="0" borderId="0" xfId="0">
      <alignment readingOrder="1"/>
    </xf>
    <xf numFmtId="0" fontId="3" fillId="0" borderId="0" xfId="2"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4" fillId="0" borderId="0" xfId="2" applyFont="1" applyAlignment="1">
      <alignment horizontal="center"/>
    </xf>
    <xf numFmtId="0" fontId="6" fillId="2" borderId="1" xfId="2" applyFont="1" applyFill="1" applyBorder="1" applyAlignment="1">
      <alignment horizontal="centerContinuous"/>
    </xf>
    <xf numFmtId="0" fontId="7" fillId="2" borderId="1" xfId="2" applyFont="1" applyFill="1" applyBorder="1" applyAlignment="1">
      <alignment horizontal="centerContinuous"/>
    </xf>
    <xf numFmtId="0" fontId="7" fillId="2" borderId="2" xfId="2" applyFont="1" applyFill="1" applyBorder="1" applyAlignment="1">
      <alignment horizontal="centerContinuous"/>
    </xf>
    <xf numFmtId="0" fontId="8" fillId="2" borderId="3" xfId="2" applyFont="1" applyFill="1" applyBorder="1" applyAlignment="1">
      <alignment horizontal="centerContinuous"/>
    </xf>
    <xf numFmtId="0" fontId="6" fillId="0" borderId="0" xfId="2" applyFont="1" applyFill="1" applyBorder="1" applyAlignment="1">
      <alignment horizontal="centerContinuous"/>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9" fillId="0" borderId="0" xfId="2" applyFont="1" applyFill="1" applyBorder="1" applyAlignment="1">
      <alignment horizontal="centerContinuous"/>
    </xf>
    <xf numFmtId="0" fontId="4" fillId="0" borderId="0" xfId="2" applyFont="1" applyFill="1" applyBorder="1"/>
    <xf numFmtId="0" fontId="9" fillId="5" borderId="5" xfId="2" applyFont="1" applyFill="1" applyBorder="1" applyAlignment="1">
      <alignment horizontal="center" wrapText="1"/>
    </xf>
    <xf numFmtId="0" fontId="9" fillId="5" borderId="5" xfId="0" applyFont="1" applyFill="1" applyBorder="1" applyAlignment="1">
      <alignment horizontal="center" wrapText="1"/>
    </xf>
    <xf numFmtId="0" fontId="9" fillId="0" borderId="0" xfId="2" applyFont="1" applyFill="1" applyBorder="1" applyAlignment="1">
      <alignment horizontal="center" wrapText="1"/>
    </xf>
    <xf numFmtId="0" fontId="11" fillId="7" borderId="6" xfId="0" applyFont="1" applyFill="1" applyBorder="1" applyAlignment="1">
      <alignment horizontal="left" readingOrder="1"/>
    </xf>
    <xf numFmtId="0" fontId="11" fillId="7" borderId="7" xfId="0" applyFont="1" applyFill="1" applyBorder="1" applyAlignment="1">
      <alignment horizontal="center" wrapText="1" readingOrder="1"/>
    </xf>
    <xf numFmtId="164" fontId="0" fillId="0" borderId="0" xfId="0" applyNumberFormat="1">
      <alignment readingOrder="1"/>
    </xf>
    <xf numFmtId="0" fontId="9" fillId="8" borderId="5" xfId="0" applyFont="1" applyFill="1" applyBorder="1" applyAlignment="1">
      <alignment horizontal="center" wrapText="1" readingOrder="1"/>
    </xf>
    <xf numFmtId="0" fontId="9" fillId="8" borderId="7" xfId="0" applyFont="1" applyFill="1" applyBorder="1" applyAlignment="1">
      <alignment horizontal="center" wrapText="1" readingOrder="1"/>
    </xf>
    <xf numFmtId="164" fontId="9" fillId="8" borderId="7" xfId="0" applyNumberFormat="1" applyFont="1" applyFill="1" applyBorder="1" applyAlignment="1">
      <alignment horizontal="center" wrapText="1" readingOrder="1"/>
    </xf>
    <xf numFmtId="164" fontId="8" fillId="0" borderId="0" xfId="0" applyNumberFormat="1" applyFont="1">
      <alignment readingOrder="1"/>
    </xf>
    <xf numFmtId="164" fontId="9" fillId="9" borderId="8" xfId="0" applyNumberFormat="1" applyFont="1" applyFill="1" applyBorder="1" applyAlignment="1">
      <alignment horizontal="centerContinuous" wrapText="1" readingOrder="1"/>
    </xf>
    <xf numFmtId="1" fontId="0" fillId="0" borderId="0" xfId="0" applyNumberFormat="1">
      <alignment readingOrder="1"/>
    </xf>
    <xf numFmtId="0" fontId="9" fillId="9" borderId="5" xfId="0" applyFont="1" applyFill="1" applyBorder="1" applyAlignment="1">
      <alignment horizontal="center" wrapText="1" readingOrder="1"/>
    </xf>
    <xf numFmtId="0" fontId="9" fillId="9" borderId="7" xfId="0" applyFont="1" applyFill="1" applyBorder="1" applyAlignment="1">
      <alignment horizontal="center" wrapText="1" readingOrder="1"/>
    </xf>
    <xf numFmtId="164" fontId="9" fillId="9" borderId="7" xfId="0" applyNumberFormat="1" applyFont="1" applyFill="1" applyBorder="1" applyAlignment="1">
      <alignment horizontal="center" wrapText="1" readingOrder="1"/>
    </xf>
    <xf numFmtId="164" fontId="9" fillId="9" borderId="9" xfId="0" applyNumberFormat="1" applyFont="1" applyFill="1" applyBorder="1" applyAlignment="1">
      <alignment horizontal="centerContinuous" wrapText="1" readingOrder="1"/>
    </xf>
    <xf numFmtId="164" fontId="9" fillId="9" borderId="10" xfId="0" applyNumberFormat="1" applyFont="1" applyFill="1" applyBorder="1" applyAlignment="1">
      <alignment horizontal="centerContinuous" wrapText="1" readingOrder="1"/>
    </xf>
    <xf numFmtId="164" fontId="0" fillId="0" borderId="0" xfId="0" applyNumberFormat="1"/>
    <xf numFmtId="2" fontId="0" fillId="0" borderId="0" xfId="0" applyNumberFormat="1"/>
    <xf numFmtId="0" fontId="10" fillId="0" borderId="0" xfId="0" applyFont="1">
      <alignment readingOrder="1"/>
    </xf>
    <xf numFmtId="49" fontId="0" fillId="0" borderId="0" xfId="0" applyNumberFormat="1">
      <alignment readingOrder="1"/>
    </xf>
    <xf numFmtId="9" fontId="10" fillId="0" borderId="0" xfId="0" applyNumberFormat="1" applyFont="1">
      <alignment readingOrder="1"/>
    </xf>
    <xf numFmtId="0" fontId="0" fillId="5" borderId="0" xfId="0" applyFill="1">
      <alignment readingOrder="1"/>
    </xf>
    <xf numFmtId="1" fontId="10"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1" fontId="0" fillId="0" borderId="0" xfId="0" applyNumberFormat="1" applyFont="1">
      <alignment readingOrder="1"/>
    </xf>
    <xf numFmtId="0" fontId="0" fillId="12" borderId="0" xfId="0" applyFill="1">
      <alignment readingOrder="1"/>
    </xf>
    <xf numFmtId="0" fontId="0" fillId="0" borderId="0" xfId="0" quotePrefix="1" applyFill="1">
      <alignment readingOrder="1"/>
    </xf>
    <xf numFmtId="0" fontId="16" fillId="6" borderId="5" xfId="0" applyFont="1" applyFill="1" applyBorder="1"/>
    <xf numFmtId="9" fontId="4" fillId="13" borderId="0" xfId="8" applyFill="1" applyAlignment="1">
      <alignment horizontal="center" readingOrder="1"/>
    </xf>
    <xf numFmtId="1" fontId="0" fillId="10" borderId="0" xfId="0" applyNumberFormat="1" applyFill="1" applyAlignment="1">
      <alignment horizontal="center" readingOrder="1"/>
    </xf>
    <xf numFmtId="0" fontId="16" fillId="14" borderId="1" xfId="0" applyFont="1" applyFill="1" applyBorder="1"/>
    <xf numFmtId="0" fontId="16" fillId="14" borderId="4" xfId="0" applyFont="1" applyFill="1" applyBorder="1"/>
    <xf numFmtId="0" fontId="16" fillId="14" borderId="3" xfId="0" applyFont="1" applyFill="1" applyBorder="1"/>
    <xf numFmtId="0" fontId="16" fillId="14" borderId="11" xfId="0" applyFont="1" applyFill="1" applyBorder="1"/>
    <xf numFmtId="0" fontId="16" fillId="14" borderId="12" xfId="0" applyFont="1" applyFill="1" applyBorder="1"/>
    <xf numFmtId="0" fontId="16" fillId="14" borderId="13" xfId="0" applyFont="1" applyFill="1" applyBorder="1"/>
    <xf numFmtId="0" fontId="16" fillId="14" borderId="5" xfId="0" applyFont="1" applyFill="1" applyBorder="1"/>
    <xf numFmtId="0" fontId="16" fillId="13" borderId="5" xfId="0" applyFont="1" applyFill="1" applyBorder="1"/>
    <xf numFmtId="164" fontId="16" fillId="13" borderId="5" xfId="0" applyNumberFormat="1" applyFont="1" applyFill="1" applyBorder="1"/>
    <xf numFmtId="164" fontId="0" fillId="15" borderId="0" xfId="0" applyNumberFormat="1" applyFill="1" applyAlignment="1">
      <alignment horizontal="center" readingOrder="1"/>
    </xf>
    <xf numFmtId="9" fontId="16" fillId="14" borderId="5" xfId="8" applyFont="1" applyFill="1" applyBorder="1"/>
    <xf numFmtId="1" fontId="0" fillId="13" borderId="0" xfId="0" applyNumberFormat="1" applyFill="1" applyAlignment="1">
      <alignment horizontal="center" readingOrder="1"/>
    </xf>
    <xf numFmtId="0" fontId="18" fillId="5" borderId="14" xfId="12" applyFont="1" applyFill="1" applyBorder="1" applyAlignment="1">
      <alignment horizontal="center" wrapText="1" readingOrder="1"/>
    </xf>
    <xf numFmtId="0" fontId="19" fillId="0" borderId="0" xfId="12" applyFont="1">
      <alignment readingOrder="1"/>
    </xf>
    <xf numFmtId="0" fontId="18" fillId="5" borderId="15" xfId="12" applyFont="1" applyFill="1" applyBorder="1" applyAlignment="1">
      <alignment readingOrder="1"/>
    </xf>
    <xf numFmtId="0" fontId="18" fillId="5" borderId="16" xfId="12" applyFont="1" applyFill="1" applyBorder="1" applyAlignment="1">
      <alignment readingOrder="1"/>
    </xf>
    <xf numFmtId="0" fontId="18" fillId="5" borderId="17" xfId="12" applyFont="1" applyFill="1" applyBorder="1" applyAlignment="1">
      <alignment readingOrder="1"/>
    </xf>
    <xf numFmtId="9" fontId="19" fillId="8" borderId="14" xfId="12" applyNumberFormat="1" applyFont="1" applyFill="1" applyBorder="1" applyAlignment="1">
      <alignment horizontal="center" readingOrder="1"/>
    </xf>
    <xf numFmtId="0" fontId="19" fillId="0" borderId="0" xfId="12" applyFont="1" applyAlignment="1">
      <alignment horizontal="left" wrapText="1" readingOrder="1"/>
    </xf>
    <xf numFmtId="164" fontId="0" fillId="10" borderId="0" xfId="0" applyNumberFormat="1" applyFill="1" applyAlignment="1">
      <alignment horizontal="center" readingOrder="1"/>
    </xf>
    <xf numFmtId="3" fontId="0" fillId="0" borderId="0" xfId="0" applyNumberFormat="1"/>
    <xf numFmtId="0" fontId="20" fillId="0" borderId="0" xfId="13"/>
    <xf numFmtId="0" fontId="0" fillId="0" borderId="0" xfId="0" applyFont="1"/>
    <xf numFmtId="1" fontId="0" fillId="0" borderId="0" xfId="0" applyNumberFormat="1"/>
    <xf numFmtId="0" fontId="21" fillId="0" borderId="0" xfId="0" applyFont="1" applyAlignment="1">
      <alignment wrapText="1"/>
    </xf>
    <xf numFmtId="0" fontId="22" fillId="0" borderId="0" xfId="14"/>
    <xf numFmtId="0" fontId="23" fillId="16" borderId="18" xfId="15" applyFont="1" applyFill="1" applyBorder="1" applyAlignment="1">
      <alignment horizontal="center"/>
    </xf>
    <xf numFmtId="0" fontId="23" fillId="0" borderId="19" xfId="15" applyFont="1" applyFill="1" applyBorder="1" applyAlignment="1">
      <alignment horizontal="right" wrapText="1"/>
    </xf>
    <xf numFmtId="2" fontId="22" fillId="0" borderId="0" xfId="14" applyNumberFormat="1"/>
    <xf numFmtId="164" fontId="22" fillId="0" borderId="0" xfId="14" applyNumberFormat="1"/>
    <xf numFmtId="0" fontId="23" fillId="16" borderId="18" xfId="16" applyFont="1" applyFill="1" applyBorder="1" applyAlignment="1">
      <alignment horizontal="center"/>
    </xf>
    <xf numFmtId="0" fontId="23" fillId="0" borderId="19" xfId="16" applyFont="1" applyFill="1" applyBorder="1" applyAlignment="1">
      <alignment horizontal="right" wrapText="1"/>
    </xf>
    <xf numFmtId="0" fontId="25" fillId="0" borderId="0" xfId="17" applyFont="1"/>
    <xf numFmtId="0" fontId="4" fillId="0" borderId="0" xfId="17" applyFont="1"/>
    <xf numFmtId="5" fontId="4" fillId="0" borderId="0" xfId="17" applyNumberFormat="1" applyFont="1" applyAlignment="1">
      <alignment horizontal="right"/>
    </xf>
    <xf numFmtId="164" fontId="4" fillId="0" borderId="0" xfId="17" applyNumberFormat="1" applyFont="1"/>
    <xf numFmtId="0" fontId="4" fillId="0" borderId="0" xfId="17"/>
    <xf numFmtId="0" fontId="10" fillId="0" borderId="0" xfId="17" applyFont="1"/>
    <xf numFmtId="44" fontId="4" fillId="0" borderId="0" xfId="1"/>
    <xf numFmtId="0" fontId="8" fillId="2" borderId="7" xfId="2" applyFont="1" applyFill="1" applyBorder="1" applyAlignment="1">
      <alignment horizontal="centerContinuous"/>
    </xf>
    <xf numFmtId="0" fontId="9" fillId="5" borderId="11" xfId="2" applyFont="1" applyFill="1" applyBorder="1" applyAlignment="1">
      <alignment horizontal="center" wrapText="1"/>
    </xf>
    <xf numFmtId="0" fontId="9" fillId="5" borderId="21" xfId="2" applyFont="1" applyFill="1" applyBorder="1" applyAlignment="1">
      <alignment horizontal="center" wrapText="1"/>
    </xf>
    <xf numFmtId="0" fontId="9" fillId="5" borderId="21" xfId="0" applyFont="1" applyFill="1" applyBorder="1" applyAlignment="1">
      <alignment horizontal="center" wrapText="1"/>
    </xf>
    <xf numFmtId="0" fontId="18" fillId="18" borderId="0" xfId="12" applyFont="1" applyFill="1">
      <alignment readingOrder="1"/>
    </xf>
    <xf numFmtId="0" fontId="19" fillId="18" borderId="0" xfId="12" applyFont="1" applyFill="1">
      <alignment readingOrder="1"/>
    </xf>
    <xf numFmtId="0" fontId="30" fillId="0" borderId="31" xfId="12" applyFont="1" applyBorder="1">
      <alignment readingOrder="1"/>
    </xf>
    <xf numFmtId="0" fontId="19" fillId="0" borderId="32" xfId="12" applyFont="1" applyBorder="1">
      <alignment readingOrder="1"/>
    </xf>
    <xf numFmtId="0" fontId="19" fillId="0" borderId="33" xfId="12" applyFont="1" applyBorder="1">
      <alignment readingOrder="1"/>
    </xf>
    <xf numFmtId="0" fontId="28" fillId="19" borderId="0" xfId="25" applyFill="1" applyAlignment="1" applyProtection="1">
      <alignment readingOrder="1"/>
    </xf>
    <xf numFmtId="0" fontId="19" fillId="19" borderId="0" xfId="12" applyFont="1" applyFill="1">
      <alignment readingOrder="1"/>
    </xf>
    <xf numFmtId="9" fontId="19" fillId="8" borderId="34" xfId="12" applyNumberFormat="1" applyFont="1" applyFill="1" applyBorder="1"/>
    <xf numFmtId="0" fontId="19" fillId="8" borderId="0" xfId="12" applyFont="1" applyFill="1" applyBorder="1">
      <alignment readingOrder="1"/>
    </xf>
    <xf numFmtId="0" fontId="19" fillId="8" borderId="35" xfId="12" applyFont="1" applyFill="1" applyBorder="1">
      <alignment readingOrder="1"/>
    </xf>
    <xf numFmtId="169" fontId="19" fillId="5" borderId="36" xfId="12" applyNumberFormat="1" applyFont="1" applyFill="1" applyBorder="1"/>
    <xf numFmtId="169" fontId="19" fillId="5" borderId="37" xfId="12" applyNumberFormat="1" applyFont="1" applyFill="1" applyBorder="1"/>
    <xf numFmtId="169" fontId="19" fillId="5" borderId="38" xfId="12" applyNumberFormat="1" applyFont="1" applyFill="1" applyBorder="1"/>
    <xf numFmtId="0" fontId="19" fillId="0" borderId="22" xfId="12" applyFont="1" applyBorder="1">
      <alignment readingOrder="1"/>
    </xf>
    <xf numFmtId="0" fontId="19" fillId="0" borderId="23" xfId="12" applyFont="1" applyBorder="1">
      <alignment readingOrder="1"/>
    </xf>
    <xf numFmtId="0" fontId="19" fillId="0" borderId="24" xfId="12" applyFont="1" applyBorder="1">
      <alignment readingOrder="1"/>
    </xf>
    <xf numFmtId="0" fontId="19" fillId="0" borderId="25" xfId="12" applyFont="1" applyBorder="1">
      <alignment readingOrder="1"/>
    </xf>
    <xf numFmtId="0" fontId="19" fillId="0" borderId="0" xfId="12" applyFont="1" applyBorder="1">
      <alignment readingOrder="1"/>
    </xf>
    <xf numFmtId="0" fontId="19" fillId="0" borderId="26" xfId="12" applyFont="1" applyBorder="1">
      <alignment readingOrder="1"/>
    </xf>
    <xf numFmtId="0" fontId="31" fillId="20" borderId="0" xfId="12" applyFont="1" applyFill="1"/>
    <xf numFmtId="0" fontId="19" fillId="20" borderId="0" xfId="12" applyFont="1" applyFill="1"/>
    <xf numFmtId="0" fontId="28" fillId="20" borderId="0" xfId="25" applyFill="1" applyAlignment="1" applyProtection="1"/>
    <xf numFmtId="0" fontId="19" fillId="0" borderId="0" xfId="12" applyFont="1"/>
    <xf numFmtId="0" fontId="31" fillId="0" borderId="0" xfId="12" applyFont="1"/>
    <xf numFmtId="0" fontId="32" fillId="5" borderId="0" xfId="12" applyFont="1" applyFill="1" applyAlignment="1">
      <alignment horizontal="left"/>
    </xf>
    <xf numFmtId="0" fontId="32" fillId="5" borderId="0" xfId="12" applyFont="1" applyFill="1"/>
    <xf numFmtId="9" fontId="19" fillId="8" borderId="14" xfId="12" applyNumberFormat="1" applyFont="1" applyFill="1" applyBorder="1"/>
    <xf numFmtId="0" fontId="19" fillId="5" borderId="0" xfId="12" applyFont="1" applyFill="1" applyAlignment="1">
      <alignment horizontal="left"/>
    </xf>
    <xf numFmtId="0" fontId="19" fillId="5" borderId="0" xfId="12" applyFont="1" applyFill="1"/>
    <xf numFmtId="169" fontId="19" fillId="5" borderId="14" xfId="12" applyNumberFormat="1" applyFont="1" applyFill="1" applyBorder="1"/>
    <xf numFmtId="0" fontId="19" fillId="5" borderId="14" xfId="12" applyFont="1" applyFill="1" applyBorder="1"/>
    <xf numFmtId="0" fontId="33" fillId="0" borderId="0" xfId="12" applyFont="1"/>
    <xf numFmtId="0" fontId="32" fillId="20" borderId="0" xfId="12" applyFont="1" applyFill="1" applyBorder="1"/>
    <xf numFmtId="0" fontId="32" fillId="0" borderId="0" xfId="12" applyFont="1" applyFill="1" applyBorder="1"/>
    <xf numFmtId="0" fontId="18" fillId="0" borderId="0" xfId="12" applyFont="1"/>
    <xf numFmtId="0" fontId="31" fillId="5" borderId="14" xfId="12" applyFont="1" applyFill="1" applyBorder="1" applyAlignment="1">
      <alignment horizontal="center" wrapText="1"/>
    </xf>
    <xf numFmtId="0" fontId="31" fillId="5" borderId="41" xfId="12" applyFont="1" applyFill="1" applyBorder="1" applyAlignment="1">
      <alignment horizontal="center" wrapText="1"/>
    </xf>
    <xf numFmtId="0" fontId="31" fillId="21" borderId="41" xfId="12" applyFont="1" applyFill="1" applyBorder="1" applyAlignment="1">
      <alignment horizontal="center" wrapText="1"/>
    </xf>
    <xf numFmtId="0" fontId="19" fillId="0" borderId="0" xfId="12" applyFont="1" applyAlignment="1">
      <alignment wrapText="1"/>
    </xf>
    <xf numFmtId="0" fontId="19" fillId="0" borderId="27" xfId="12" applyFont="1" applyBorder="1">
      <alignment readingOrder="1"/>
    </xf>
    <xf numFmtId="164" fontId="19" fillId="5" borderId="14" xfId="12" applyNumberFormat="1" applyFont="1" applyFill="1" applyBorder="1" applyAlignment="1">
      <alignment horizontal="center"/>
    </xf>
    <xf numFmtId="2" fontId="19" fillId="5" borderId="14" xfId="12" applyNumberFormat="1" applyFont="1" applyFill="1" applyBorder="1" applyAlignment="1">
      <alignment horizontal="center"/>
    </xf>
    <xf numFmtId="9" fontId="19" fillId="8" borderId="14" xfId="12" applyNumberFormat="1" applyFont="1" applyFill="1" applyBorder="1" applyAlignment="1">
      <alignment horizontal="center"/>
    </xf>
    <xf numFmtId="2" fontId="19" fillId="8" borderId="14" xfId="12" applyNumberFormat="1" applyFont="1" applyFill="1" applyBorder="1" applyAlignment="1">
      <alignment horizontal="center"/>
    </xf>
    <xf numFmtId="170" fontId="19" fillId="8" borderId="14" xfId="33" applyNumberFormat="1" applyFont="1" applyFill="1" applyBorder="1" applyAlignment="1">
      <alignment horizontal="center"/>
    </xf>
    <xf numFmtId="164" fontId="19" fillId="21" borderId="14" xfId="12" applyNumberFormat="1" applyFont="1" applyFill="1" applyBorder="1" applyAlignment="1">
      <alignment horizontal="center"/>
    </xf>
    <xf numFmtId="0" fontId="26" fillId="0" borderId="42" xfId="12" applyFont="1" applyFill="1" applyBorder="1" applyAlignment="1">
      <alignment horizontal="left"/>
    </xf>
    <xf numFmtId="0" fontId="19" fillId="5" borderId="14" xfId="12" applyFont="1" applyFill="1" applyBorder="1" applyAlignment="1">
      <alignment horizontal="center"/>
    </xf>
    <xf numFmtId="170" fontId="19" fillId="5" borderId="14" xfId="33" applyNumberFormat="1" applyFont="1" applyFill="1" applyBorder="1" applyAlignment="1">
      <alignment horizontal="center"/>
    </xf>
    <xf numFmtId="0" fontId="19" fillId="0" borderId="0" xfId="12" applyFont="1" applyFill="1" applyBorder="1"/>
    <xf numFmtId="0" fontId="19" fillId="0" borderId="28" xfId="12" applyFont="1" applyBorder="1">
      <alignment readingOrder="1"/>
    </xf>
    <xf numFmtId="0" fontId="19" fillId="0" borderId="29" xfId="12" applyFont="1" applyBorder="1">
      <alignment readingOrder="1"/>
    </xf>
    <xf numFmtId="0" fontId="19" fillId="5" borderId="14" xfId="12" applyFont="1" applyFill="1" applyBorder="1">
      <alignment readingOrder="1"/>
    </xf>
    <xf numFmtId="0" fontId="30" fillId="20" borderId="0" xfId="12" applyFont="1" applyFill="1">
      <alignment readingOrder="1"/>
    </xf>
    <xf numFmtId="0" fontId="19" fillId="20" borderId="0" xfId="12" applyFont="1" applyFill="1">
      <alignment readingOrder="1"/>
    </xf>
    <xf numFmtId="0" fontId="18" fillId="5" borderId="14" xfId="12" applyFont="1" applyFill="1" applyBorder="1" applyAlignment="1">
      <alignment wrapText="1" readingOrder="1"/>
    </xf>
    <xf numFmtId="0" fontId="19" fillId="0" borderId="0" xfId="12" applyFont="1" applyAlignment="1">
      <alignment wrapText="1" readingOrder="1"/>
    </xf>
    <xf numFmtId="0" fontId="19" fillId="0" borderId="0" xfId="12" applyFont="1" applyAlignment="1">
      <alignment readingOrder="1"/>
    </xf>
    <xf numFmtId="0" fontId="19" fillId="0" borderId="25" xfId="12" applyFont="1" applyBorder="1" applyAlignment="1">
      <alignment wrapText="1" readingOrder="1"/>
    </xf>
    <xf numFmtId="0" fontId="19" fillId="0" borderId="0" xfId="12" applyFont="1" applyBorder="1" applyAlignment="1">
      <alignment wrapText="1" readingOrder="1"/>
    </xf>
    <xf numFmtId="0" fontId="19" fillId="0" borderId="26" xfId="12" applyFont="1" applyBorder="1" applyAlignment="1">
      <alignment wrapText="1" readingOrder="1"/>
    </xf>
    <xf numFmtId="3" fontId="19" fillId="5" borderId="14" xfId="12" applyNumberFormat="1" applyFont="1" applyFill="1" applyBorder="1">
      <alignment readingOrder="1"/>
    </xf>
    <xf numFmtId="171" fontId="19" fillId="5" borderId="14" xfId="12" applyNumberFormat="1" applyFont="1" applyFill="1" applyBorder="1">
      <alignment readingOrder="1"/>
    </xf>
    <xf numFmtId="171" fontId="19" fillId="5" borderId="43" xfId="12" applyNumberFormat="1" applyFont="1" applyFill="1" applyBorder="1">
      <alignment readingOrder="1"/>
    </xf>
    <xf numFmtId="0" fontId="30" fillId="5" borderId="14" xfId="12" applyFont="1" applyFill="1" applyBorder="1">
      <alignment readingOrder="1"/>
    </xf>
    <xf numFmtId="3" fontId="30" fillId="5" borderId="15" xfId="12" applyNumberFormat="1" applyFont="1" applyFill="1" applyBorder="1">
      <alignment readingOrder="1"/>
    </xf>
    <xf numFmtId="171" fontId="30" fillId="5" borderId="44" xfId="12" applyNumberFormat="1" applyFont="1" applyFill="1" applyBorder="1">
      <alignment readingOrder="1"/>
    </xf>
    <xf numFmtId="171" fontId="30" fillId="5" borderId="45" xfId="12" applyNumberFormat="1" applyFont="1" applyFill="1" applyBorder="1" applyAlignment="1">
      <alignment horizontal="right" readingOrder="1"/>
    </xf>
    <xf numFmtId="171" fontId="30" fillId="8" borderId="46" xfId="12" applyNumberFormat="1" applyFont="1" applyFill="1" applyBorder="1">
      <alignment readingOrder="1"/>
    </xf>
    <xf numFmtId="0" fontId="18" fillId="0" borderId="0" xfId="12" applyFont="1">
      <alignment readingOrder="1"/>
    </xf>
    <xf numFmtId="164" fontId="19" fillId="8" borderId="14" xfId="12" applyNumberFormat="1" applyFont="1" applyFill="1" applyBorder="1">
      <alignment readingOrder="1"/>
    </xf>
    <xf numFmtId="0" fontId="34" fillId="0" borderId="0" xfId="12" applyFont="1">
      <alignment readingOrder="1"/>
    </xf>
    <xf numFmtId="6" fontId="19" fillId="8" borderId="14" xfId="12" applyNumberFormat="1" applyFont="1" applyFill="1" applyBorder="1">
      <alignment readingOrder="1"/>
    </xf>
    <xf numFmtId="0" fontId="19" fillId="5" borderId="15" xfId="12" applyFont="1" applyFill="1" applyBorder="1" applyAlignment="1">
      <alignment horizontal="left" readingOrder="1"/>
    </xf>
    <xf numFmtId="0" fontId="19" fillId="5" borderId="17" xfId="12" applyFont="1" applyFill="1" applyBorder="1" applyAlignment="1">
      <alignment horizontal="left" readingOrder="1"/>
    </xf>
    <xf numFmtId="0" fontId="35" fillId="0" borderId="0" xfId="12" applyFont="1" applyAlignment="1"/>
    <xf numFmtId="0" fontId="4" fillId="0" borderId="0" xfId="12" applyAlignment="1"/>
    <xf numFmtId="0" fontId="4" fillId="0" borderId="0" xfId="12" applyAlignment="1">
      <alignment wrapText="1"/>
    </xf>
    <xf numFmtId="0" fontId="10" fillId="20" borderId="0" xfId="12" applyFont="1" applyFill="1" applyAlignment="1"/>
    <xf numFmtId="0" fontId="4" fillId="20" borderId="0" xfId="12" applyFill="1" applyAlignment="1">
      <alignment wrapText="1"/>
    </xf>
    <xf numFmtId="0" fontId="10" fillId="5" borderId="0" xfId="12" applyFont="1" applyFill="1" applyAlignment="1"/>
    <xf numFmtId="0" fontId="4" fillId="5" borderId="0" xfId="12" applyFill="1" applyAlignment="1"/>
    <xf numFmtId="0" fontId="28" fillId="5" borderId="0" xfId="25" applyFill="1" applyAlignment="1" applyProtection="1"/>
    <xf numFmtId="0" fontId="32" fillId="5" borderId="14" xfId="12" applyFont="1" applyFill="1" applyBorder="1" applyAlignment="1">
      <alignment wrapText="1"/>
    </xf>
    <xf numFmtId="0" fontId="4" fillId="0" borderId="22" xfId="12" applyBorder="1" applyAlignment="1">
      <alignment wrapText="1"/>
    </xf>
    <xf numFmtId="0" fontId="4" fillId="0" borderId="23" xfId="12" applyBorder="1" applyAlignment="1">
      <alignment wrapText="1"/>
    </xf>
    <xf numFmtId="0" fontId="4" fillId="0" borderId="24" xfId="12" applyBorder="1" applyAlignment="1">
      <alignment wrapText="1"/>
    </xf>
    <xf numFmtId="0" fontId="4" fillId="0" borderId="25" xfId="12" applyBorder="1" applyAlignment="1">
      <alignment wrapText="1"/>
    </xf>
    <xf numFmtId="0" fontId="4" fillId="0" borderId="0" xfId="12" applyBorder="1" applyAlignment="1">
      <alignment wrapText="1"/>
    </xf>
    <xf numFmtId="0" fontId="4" fillId="0" borderId="26" xfId="12" applyBorder="1" applyAlignment="1">
      <alignment wrapText="1"/>
    </xf>
    <xf numFmtId="0" fontId="4" fillId="5" borderId="14" xfId="12" applyFill="1" applyBorder="1" applyAlignment="1">
      <alignment wrapText="1"/>
    </xf>
    <xf numFmtId="2" fontId="4" fillId="5" borderId="14" xfId="12" applyNumberFormat="1" applyFill="1" applyBorder="1" applyAlignment="1">
      <alignment wrapText="1"/>
    </xf>
    <xf numFmtId="3" fontId="4" fillId="5" borderId="14" xfId="12" applyNumberFormat="1" applyFill="1" applyBorder="1" applyAlignment="1">
      <alignment wrapText="1"/>
    </xf>
    <xf numFmtId="170" fontId="4" fillId="5" borderId="14" xfId="12" applyNumberFormat="1" applyFill="1" applyBorder="1" applyAlignment="1">
      <alignment wrapText="1"/>
    </xf>
    <xf numFmtId="164" fontId="4" fillId="5" borderId="14" xfId="12" applyNumberFormat="1" applyFill="1" applyBorder="1" applyAlignment="1">
      <alignment wrapText="1"/>
    </xf>
    <xf numFmtId="169" fontId="4" fillId="5" borderId="14" xfId="12" applyNumberFormat="1" applyFill="1" applyBorder="1" applyAlignment="1">
      <alignment wrapText="1"/>
    </xf>
    <xf numFmtId="0" fontId="4" fillId="5" borderId="14" xfId="12" applyFont="1" applyFill="1" applyBorder="1" applyAlignment="1">
      <alignment wrapText="1"/>
    </xf>
    <xf numFmtId="171" fontId="4" fillId="5" borderId="14" xfId="12" applyNumberFormat="1" applyFill="1" applyBorder="1" applyAlignment="1">
      <alignment wrapText="1"/>
    </xf>
    <xf numFmtId="1" fontId="4" fillId="5" borderId="14" xfId="12" applyNumberFormat="1" applyFill="1" applyBorder="1" applyAlignment="1">
      <alignment wrapText="1"/>
    </xf>
    <xf numFmtId="0" fontId="4" fillId="0" borderId="0" xfId="12" applyFont="1" applyBorder="1" applyAlignment="1">
      <alignment wrapText="1"/>
    </xf>
    <xf numFmtId="0" fontId="32" fillId="0" borderId="0" xfId="12" applyFont="1" applyAlignment="1">
      <alignment wrapText="1"/>
    </xf>
    <xf numFmtId="0" fontId="37" fillId="0" borderId="0" xfId="12" applyFont="1" applyAlignment="1">
      <alignment wrapText="1"/>
    </xf>
    <xf numFmtId="172" fontId="4" fillId="5" borderId="14" xfId="12" applyNumberFormat="1" applyFill="1" applyBorder="1" applyAlignment="1">
      <alignment wrapText="1"/>
    </xf>
    <xf numFmtId="0" fontId="4" fillId="0" borderId="27" xfId="12" applyBorder="1" applyAlignment="1">
      <alignment wrapText="1"/>
    </xf>
    <xf numFmtId="0" fontId="4" fillId="0" borderId="28" xfId="12" applyBorder="1" applyAlignment="1">
      <alignment wrapText="1"/>
    </xf>
    <xf numFmtId="0" fontId="4" fillId="0" borderId="29" xfId="12" applyBorder="1" applyAlignment="1">
      <alignment wrapText="1"/>
    </xf>
    <xf numFmtId="0" fontId="32" fillId="20" borderId="0" xfId="12" applyFont="1" applyFill="1" applyAlignment="1"/>
    <xf numFmtId="0" fontId="31" fillId="19" borderId="0" xfId="12" applyFont="1" applyFill="1" applyAlignment="1">
      <alignment wrapText="1"/>
    </xf>
    <xf numFmtId="0" fontId="4" fillId="19" borderId="0" xfId="12" applyFill="1" applyAlignment="1">
      <alignment wrapText="1"/>
    </xf>
    <xf numFmtId="3" fontId="32" fillId="5" borderId="14" xfId="12" applyNumberFormat="1" applyFont="1" applyFill="1" applyBorder="1" applyAlignment="1">
      <alignment wrapText="1"/>
    </xf>
    <xf numFmtId="9" fontId="32" fillId="5" borderId="14" xfId="33" applyFont="1" applyFill="1" applyBorder="1" applyAlignment="1">
      <alignment wrapText="1"/>
    </xf>
    <xf numFmtId="171" fontId="32" fillId="5" borderId="14" xfId="12" applyNumberFormat="1" applyFont="1" applyFill="1" applyBorder="1" applyAlignment="1">
      <alignment wrapText="1"/>
    </xf>
    <xf numFmtId="9" fontId="32" fillId="5" borderId="14" xfId="33" applyNumberFormat="1" applyFont="1" applyFill="1" applyBorder="1" applyAlignment="1">
      <alignment wrapText="1"/>
    </xf>
    <xf numFmtId="172" fontId="32" fillId="5" borderId="14" xfId="12" applyNumberFormat="1" applyFont="1" applyFill="1" applyBorder="1" applyAlignment="1">
      <alignment wrapText="1"/>
    </xf>
    <xf numFmtId="0" fontId="4" fillId="0" borderId="28" xfId="12" applyFont="1" applyBorder="1" applyAlignment="1">
      <alignment wrapText="1"/>
    </xf>
    <xf numFmtId="0" fontId="4" fillId="0" borderId="0" xfId="12" applyFill="1" applyAlignment="1"/>
    <xf numFmtId="0" fontId="32" fillId="0" borderId="0" xfId="12" applyFont="1" applyFill="1" applyBorder="1" applyAlignment="1">
      <alignment wrapText="1"/>
    </xf>
    <xf numFmtId="9" fontId="32" fillId="0" borderId="0" xfId="33" applyFont="1" applyFill="1" applyBorder="1" applyAlignment="1">
      <alignment wrapText="1"/>
    </xf>
    <xf numFmtId="0" fontId="4" fillId="0" borderId="0" xfId="12" applyFill="1" applyAlignment="1">
      <alignment wrapText="1"/>
    </xf>
    <xf numFmtId="0" fontId="3" fillId="20" borderId="0" xfId="12" applyFont="1" applyFill="1" applyAlignment="1"/>
    <xf numFmtId="0" fontId="38" fillId="20" borderId="0" xfId="12" applyFont="1" applyFill="1" applyAlignment="1">
      <alignment wrapText="1"/>
    </xf>
    <xf numFmtId="0" fontId="10" fillId="5" borderId="14" xfId="12" applyFont="1" applyFill="1" applyBorder="1" applyAlignment="1">
      <alignment wrapText="1"/>
    </xf>
    <xf numFmtId="171" fontId="4" fillId="5" borderId="14" xfId="19" applyNumberFormat="1" applyFont="1" applyFill="1" applyBorder="1" applyAlignment="1">
      <alignment wrapText="1"/>
    </xf>
    <xf numFmtId="0" fontId="4" fillId="19" borderId="0" xfId="12" applyFill="1" applyAlignment="1"/>
    <xf numFmtId="0" fontId="4" fillId="19" borderId="0" xfId="12" applyFont="1" applyFill="1" applyAlignment="1">
      <alignment wrapText="1"/>
    </xf>
    <xf numFmtId="0" fontId="4" fillId="5" borderId="0" xfId="12" applyFill="1" applyAlignment="1">
      <alignment wrapText="1"/>
    </xf>
    <xf numFmtId="0" fontId="4" fillId="5" borderId="0" xfId="12" applyFont="1" applyFill="1" applyAlignment="1">
      <alignment wrapText="1"/>
    </xf>
    <xf numFmtId="0" fontId="4" fillId="19" borderId="0" xfId="12" applyFont="1" applyFill="1" applyAlignment="1"/>
    <xf numFmtId="6" fontId="4" fillId="5" borderId="0" xfId="12" applyNumberFormat="1" applyFill="1" applyAlignment="1">
      <alignment wrapText="1"/>
    </xf>
    <xf numFmtId="171" fontId="4" fillId="5" borderId="0" xfId="12" applyNumberFormat="1" applyFill="1" applyAlignment="1">
      <alignment wrapText="1"/>
    </xf>
    <xf numFmtId="3" fontId="4" fillId="11" borderId="14" xfId="12" applyNumberFormat="1" applyFill="1" applyBorder="1" applyAlignment="1">
      <alignment wrapText="1"/>
    </xf>
    <xf numFmtId="0" fontId="31" fillId="11" borderId="14" xfId="12" applyFont="1" applyFill="1" applyBorder="1" applyAlignment="1">
      <alignment horizontal="center" wrapText="1"/>
    </xf>
    <xf numFmtId="171" fontId="4" fillId="11" borderId="14" xfId="12" applyNumberFormat="1" applyFill="1" applyBorder="1" applyAlignment="1">
      <alignment wrapText="1"/>
    </xf>
    <xf numFmtId="172" fontId="0" fillId="0" borderId="0" xfId="0" applyNumberFormat="1"/>
    <xf numFmtId="6" fontId="0" fillId="0" borderId="0" xfId="0" applyNumberFormat="1"/>
    <xf numFmtId="9" fontId="0" fillId="0" borderId="0" xfId="8" applyFont="1"/>
    <xf numFmtId="164" fontId="0" fillId="13" borderId="0" xfId="0" applyNumberFormat="1" applyFill="1" applyAlignment="1">
      <alignment horizontal="center" readingOrder="1"/>
    </xf>
    <xf numFmtId="0" fontId="17" fillId="0" borderId="0" xfId="12" applyFont="1"/>
    <xf numFmtId="0" fontId="40" fillId="11" borderId="47" xfId="12" applyFont="1" applyFill="1" applyBorder="1"/>
    <xf numFmtId="0" fontId="40" fillId="11" borderId="48" xfId="12" applyFont="1" applyFill="1" applyBorder="1"/>
    <xf numFmtId="0" fontId="40" fillId="11" borderId="8" xfId="12" applyFont="1" applyFill="1" applyBorder="1"/>
    <xf numFmtId="0" fontId="41" fillId="14" borderId="21" xfId="37" applyFont="1" applyFill="1" applyBorder="1" applyAlignment="1">
      <alignment horizontal="left" vertical="center" wrapText="1"/>
    </xf>
    <xf numFmtId="0" fontId="41" fillId="14" borderId="5" xfId="37" applyFont="1" applyFill="1" applyBorder="1" applyAlignment="1">
      <alignment horizontal="left" vertical="center" wrapText="1"/>
    </xf>
    <xf numFmtId="0" fontId="42" fillId="0" borderId="5" xfId="37" applyNumberFormat="1" applyFont="1" applyFill="1" applyBorder="1" applyAlignment="1">
      <alignment horizontal="left" vertical="center" wrapText="1"/>
    </xf>
    <xf numFmtId="0" fontId="42" fillId="0" borderId="5" xfId="37" applyFont="1" applyFill="1" applyBorder="1" applyAlignment="1">
      <alignment horizontal="left" vertical="center" wrapText="1"/>
    </xf>
    <xf numFmtId="0" fontId="17" fillId="0" borderId="5" xfId="37" applyFont="1" applyFill="1" applyBorder="1" applyAlignment="1">
      <alignment horizontal="left" vertical="center" wrapText="1"/>
    </xf>
    <xf numFmtId="0" fontId="42" fillId="0" borderId="5" xfId="37" applyFont="1" applyBorder="1" applyAlignment="1">
      <alignment horizontal="left" vertical="center" wrapText="1" readingOrder="1"/>
    </xf>
    <xf numFmtId="0" fontId="42" fillId="0" borderId="5" xfId="37" applyFont="1" applyBorder="1" applyAlignment="1">
      <alignment vertical="center" wrapText="1" readingOrder="1"/>
    </xf>
    <xf numFmtId="0" fontId="42" fillId="0" borderId="5" xfId="37" applyFont="1" applyBorder="1" applyAlignment="1">
      <alignment wrapText="1" readingOrder="1"/>
    </xf>
    <xf numFmtId="0" fontId="42" fillId="0" borderId="5" xfId="37" applyNumberFormat="1" applyFont="1" applyBorder="1" applyAlignment="1">
      <alignment vertical="center" wrapText="1" readingOrder="1"/>
    </xf>
    <xf numFmtId="2" fontId="4" fillId="0" borderId="0" xfId="38" applyNumberFormat="1" applyFont="1"/>
    <xf numFmtId="0" fontId="7" fillId="63" borderId="7" xfId="2" applyFont="1" applyFill="1" applyBorder="1" applyAlignment="1">
      <alignment horizontal="center"/>
    </xf>
    <xf numFmtId="0" fontId="9" fillId="10" borderId="7" xfId="2" applyFont="1" applyFill="1" applyBorder="1" applyAlignment="1">
      <alignment horizontal="center" wrapText="1"/>
    </xf>
    <xf numFmtId="0" fontId="9" fillId="10" borderId="5" xfId="2" applyFont="1" applyFill="1" applyBorder="1" applyAlignment="1">
      <alignment horizontal="center" wrapText="1"/>
    </xf>
    <xf numFmtId="0" fontId="11" fillId="65" borderId="6" xfId="0" applyFont="1" applyFill="1" applyBorder="1" applyAlignment="1">
      <alignment horizontal="left" wrapText="1" readingOrder="1"/>
    </xf>
    <xf numFmtId="0" fontId="11" fillId="65" borderId="7" xfId="0" applyFont="1" applyFill="1" applyBorder="1" applyAlignment="1">
      <alignment horizontal="center" wrapText="1" readingOrder="1"/>
    </xf>
    <xf numFmtId="0" fontId="11" fillId="7" borderId="20" xfId="0" applyFont="1" applyFill="1" applyBorder="1" applyAlignment="1">
      <alignment horizontal="center" wrapText="1" readingOrder="1"/>
    </xf>
    <xf numFmtId="0" fontId="0" fillId="0" borderId="22" xfId="0" applyBorder="1">
      <alignment readingOrder="1"/>
    </xf>
    <xf numFmtId="0" fontId="0" fillId="0" borderId="23" xfId="0" applyBorder="1">
      <alignment readingOrder="1"/>
    </xf>
    <xf numFmtId="0" fontId="0" fillId="0" borderId="24" xfId="0" applyBorder="1">
      <alignment readingOrder="1"/>
    </xf>
    <xf numFmtId="0" fontId="0" fillId="0" borderId="25" xfId="0" applyBorder="1">
      <alignment readingOrder="1"/>
    </xf>
    <xf numFmtId="0" fontId="0" fillId="0" borderId="0" xfId="0" applyBorder="1">
      <alignment readingOrder="1"/>
    </xf>
    <xf numFmtId="0" fontId="0" fillId="0" borderId="26" xfId="0" applyBorder="1">
      <alignment readingOrder="1"/>
    </xf>
    <xf numFmtId="0" fontId="0" fillId="0" borderId="27" xfId="0" applyBorder="1">
      <alignment readingOrder="1"/>
    </xf>
    <xf numFmtId="0" fontId="0" fillId="0" borderId="28" xfId="0" applyBorder="1">
      <alignment readingOrder="1"/>
    </xf>
    <xf numFmtId="0" fontId="0" fillId="0" borderId="29" xfId="0" applyBorder="1">
      <alignment readingOrder="1"/>
    </xf>
    <xf numFmtId="0" fontId="9" fillId="66" borderId="47" xfId="0" applyFont="1" applyFill="1" applyBorder="1" applyAlignment="1">
      <alignment horizontal="centerContinuous" wrapText="1" readingOrder="1"/>
    </xf>
    <xf numFmtId="0" fontId="9" fillId="66" borderId="8" xfId="0" applyFont="1" applyFill="1" applyBorder="1" applyAlignment="1">
      <alignment horizontal="centerContinuous" wrapText="1" readingOrder="1"/>
    </xf>
    <xf numFmtId="164" fontId="9" fillId="66" borderId="47" xfId="0" applyNumberFormat="1" applyFont="1" applyFill="1" applyBorder="1" applyAlignment="1">
      <alignment horizontal="centerContinuous" wrapText="1" readingOrder="1"/>
    </xf>
    <xf numFmtId="164" fontId="9" fillId="66" borderId="48" xfId="0" applyNumberFormat="1" applyFont="1" applyFill="1" applyBorder="1" applyAlignment="1">
      <alignment horizontal="centerContinuous" wrapText="1" readingOrder="1"/>
    </xf>
    <xf numFmtId="164" fontId="9" fillId="66" borderId="8" xfId="0" applyNumberFormat="1" applyFont="1" applyFill="1" applyBorder="1" applyAlignment="1">
      <alignment horizontal="centerContinuous" wrapText="1" readingOrder="1"/>
    </xf>
    <xf numFmtId="164" fontId="9" fillId="66" borderId="20" xfId="0" applyNumberFormat="1" applyFont="1" applyFill="1" applyBorder="1" applyAlignment="1">
      <alignment horizontal="center" wrapText="1" readingOrder="1"/>
    </xf>
    <xf numFmtId="174" fontId="9" fillId="8" borderId="7" xfId="0" applyNumberFormat="1" applyFont="1" applyFill="1" applyBorder="1" applyAlignment="1">
      <alignment horizontal="center" wrapText="1" readingOrder="1"/>
    </xf>
    <xf numFmtId="0" fontId="9" fillId="9" borderId="47" xfId="0" applyFont="1" applyFill="1" applyBorder="1" applyAlignment="1">
      <alignment horizontal="centerContinuous" wrapText="1" readingOrder="1"/>
    </xf>
    <xf numFmtId="0" fontId="9" fillId="9" borderId="48" xfId="0" applyFont="1" applyFill="1" applyBorder="1" applyAlignment="1">
      <alignment horizontal="centerContinuous" wrapText="1" readingOrder="1"/>
    </xf>
    <xf numFmtId="164" fontId="9" fillId="9" borderId="48" xfId="0" applyNumberFormat="1" applyFont="1" applyFill="1" applyBorder="1" applyAlignment="1">
      <alignment horizontal="centerContinuous" wrapText="1" readingOrder="1"/>
    </xf>
    <xf numFmtId="164" fontId="9" fillId="9" borderId="20" xfId="0" applyNumberFormat="1" applyFont="1" applyFill="1" applyBorder="1" applyAlignment="1">
      <alignment horizontal="center" wrapText="1" readingOrder="1"/>
    </xf>
    <xf numFmtId="164" fontId="9" fillId="9" borderId="47" xfId="0" applyNumberFormat="1" applyFont="1" applyFill="1" applyBorder="1" applyAlignment="1">
      <alignment horizontal="centerContinuous" wrapText="1" readingOrder="1"/>
    </xf>
    <xf numFmtId="164" fontId="10" fillId="0" borderId="0" xfId="0" applyNumberFormat="1" applyFont="1">
      <alignment readingOrder="1"/>
    </xf>
    <xf numFmtId="175" fontId="10" fillId="0" borderId="0" xfId="0" applyNumberFormat="1" applyFont="1">
      <alignment readingOrder="1"/>
    </xf>
    <xf numFmtId="164" fontId="70" fillId="0" borderId="0" xfId="0" applyNumberFormat="1" applyFont="1">
      <alignment readingOrder="1"/>
    </xf>
    <xf numFmtId="175" fontId="0" fillId="0" borderId="0" xfId="0" applyNumberFormat="1">
      <alignment readingOrder="1"/>
    </xf>
    <xf numFmtId="175" fontId="70" fillId="0" borderId="0" xfId="0" applyNumberFormat="1" applyFont="1">
      <alignment readingOrder="1"/>
    </xf>
    <xf numFmtId="0" fontId="72" fillId="67" borderId="60" xfId="0" applyFont="1" applyFill="1" applyBorder="1"/>
    <xf numFmtId="4" fontId="0" fillId="68" borderId="60" xfId="0" applyNumberFormat="1" applyFont="1" applyFill="1" applyBorder="1"/>
    <xf numFmtId="0" fontId="0" fillId="0" borderId="61" xfId="0" applyFont="1" applyBorder="1"/>
    <xf numFmtId="0" fontId="0" fillId="0" borderId="62" xfId="0" applyFont="1" applyBorder="1"/>
    <xf numFmtId="3" fontId="0" fillId="0" borderId="62" xfId="0" applyNumberFormat="1" applyFont="1" applyBorder="1"/>
    <xf numFmtId="4" fontId="0" fillId="0" borderId="62" xfId="0" applyNumberFormat="1" applyFont="1" applyBorder="1"/>
    <xf numFmtId="0" fontId="0" fillId="68" borderId="61" xfId="0" applyFont="1" applyFill="1" applyBorder="1"/>
    <xf numFmtId="0" fontId="0" fillId="68" borderId="62" xfId="0" applyFont="1" applyFill="1" applyBorder="1"/>
    <xf numFmtId="3" fontId="0" fillId="68" borderId="62" xfId="0" applyNumberFormat="1" applyFont="1" applyFill="1" applyBorder="1"/>
    <xf numFmtId="4" fontId="0" fillId="68" borderId="62" xfId="0" applyNumberFormat="1" applyFont="1" applyFill="1" applyBorder="1"/>
    <xf numFmtId="4" fontId="0" fillId="0" borderId="0" xfId="0" applyNumberFormat="1"/>
    <xf numFmtId="0" fontId="10" fillId="0" borderId="0" xfId="371" applyFont="1"/>
    <xf numFmtId="0" fontId="4" fillId="0" borderId="0" xfId="371"/>
    <xf numFmtId="0" fontId="4" fillId="0" borderId="0" xfId="372"/>
    <xf numFmtId="9" fontId="73" fillId="0" borderId="0" xfId="12" applyNumberFormat="1" applyFont="1"/>
    <xf numFmtId="0" fontId="73" fillId="0" borderId="0" xfId="12" applyFont="1"/>
    <xf numFmtId="9" fontId="0" fillId="0" borderId="63" xfId="0" applyNumberFormat="1" applyBorder="1">
      <alignment readingOrder="1"/>
    </xf>
    <xf numFmtId="0" fontId="16" fillId="14" borderId="2" xfId="0" applyFont="1" applyFill="1" applyBorder="1"/>
    <xf numFmtId="0" fontId="16" fillId="14" borderId="21" xfId="0" applyFont="1" applyFill="1" applyBorder="1"/>
    <xf numFmtId="9" fontId="0" fillId="0" borderId="0" xfId="0" applyNumberFormat="1">
      <alignment readingOrder="1"/>
    </xf>
    <xf numFmtId="0" fontId="0" fillId="0" borderId="1" xfId="0" applyBorder="1"/>
    <xf numFmtId="9" fontId="0" fillId="0" borderId="4" xfId="0" applyNumberFormat="1" applyBorder="1"/>
    <xf numFmtId="0" fontId="0" fillId="0" borderId="4" xfId="0" applyBorder="1"/>
    <xf numFmtId="0" fontId="0" fillId="0" borderId="3" xfId="0" applyBorder="1"/>
    <xf numFmtId="0" fontId="0" fillId="0" borderId="11" xfId="0" applyBorder="1"/>
    <xf numFmtId="9" fontId="0" fillId="0" borderId="12" xfId="0" applyNumberFormat="1" applyBorder="1"/>
    <xf numFmtId="0" fontId="0" fillId="0" borderId="12" xfId="0" applyBorder="1"/>
    <xf numFmtId="0" fontId="0" fillId="0" borderId="13" xfId="0" applyBorder="1"/>
    <xf numFmtId="2" fontId="0" fillId="10" borderId="0" xfId="0" applyNumberFormat="1" applyFill="1" applyAlignment="1">
      <alignment horizontal="center" readingOrder="1"/>
    </xf>
    <xf numFmtId="43" fontId="0" fillId="10" borderId="0" xfId="370" applyFont="1" applyFill="1" applyAlignment="1">
      <alignment horizontal="center" readingOrder="1"/>
    </xf>
    <xf numFmtId="0" fontId="0" fillId="14" borderId="0" xfId="0" applyFill="1">
      <alignment readingOrder="1"/>
    </xf>
    <xf numFmtId="0" fontId="0" fillId="14" borderId="0" xfId="0" applyFill="1" applyAlignment="1">
      <alignment vertical="center" wrapText="1" readingOrder="1"/>
    </xf>
    <xf numFmtId="0" fontId="31" fillId="5" borderId="14" xfId="12" applyFont="1" applyFill="1" applyBorder="1" applyAlignment="1">
      <alignment horizontal="center" wrapText="1"/>
    </xf>
    <xf numFmtId="0" fontId="31" fillId="11" borderId="14" xfId="12" applyFont="1" applyFill="1" applyBorder="1" applyAlignment="1">
      <alignment horizontal="center" wrapText="1"/>
    </xf>
    <xf numFmtId="0" fontId="19" fillId="5" borderId="15" xfId="12" applyFont="1" applyFill="1" applyBorder="1" applyAlignment="1">
      <alignment horizontal="left" readingOrder="1"/>
    </xf>
    <xf numFmtId="0" fontId="19" fillId="5" borderId="17" xfId="12" applyFont="1" applyFill="1" applyBorder="1" applyAlignment="1">
      <alignment horizontal="left" readingOrder="1"/>
    </xf>
    <xf numFmtId="0" fontId="75" fillId="67" borderId="59" xfId="0" applyFont="1" applyFill="1" applyBorder="1"/>
    <xf numFmtId="0" fontId="75" fillId="67" borderId="60" xfId="0" applyFont="1" applyFill="1" applyBorder="1"/>
    <xf numFmtId="0" fontId="75" fillId="67" borderId="64" xfId="0" applyFont="1" applyFill="1" applyBorder="1"/>
    <xf numFmtId="0" fontId="76" fillId="68" borderId="59" xfId="0" applyFont="1" applyFill="1" applyBorder="1"/>
    <xf numFmtId="0" fontId="76" fillId="68" borderId="60" xfId="0" applyFont="1" applyFill="1" applyBorder="1"/>
    <xf numFmtId="3" fontId="76" fillId="68" borderId="60" xfId="0" applyNumberFormat="1" applyFont="1" applyFill="1" applyBorder="1"/>
    <xf numFmtId="176" fontId="76" fillId="68" borderId="64" xfId="0" applyNumberFormat="1" applyFont="1" applyFill="1" applyBorder="1"/>
    <xf numFmtId="0" fontId="76" fillId="0" borderId="59" xfId="0" applyFont="1" applyBorder="1"/>
    <xf numFmtId="0" fontId="76" fillId="0" borderId="60" xfId="0" applyFont="1" applyBorder="1"/>
    <xf numFmtId="3" fontId="76" fillId="0" borderId="60" xfId="0" applyNumberFormat="1" applyFont="1" applyBorder="1"/>
    <xf numFmtId="176" fontId="76" fillId="0" borderId="64" xfId="0" applyNumberFormat="1" applyFont="1" applyBorder="1"/>
    <xf numFmtId="43" fontId="4" fillId="0" borderId="0" xfId="372" applyNumberFormat="1"/>
    <xf numFmtId="164" fontId="0" fillId="12" borderId="0" xfId="0" applyNumberFormat="1" applyFill="1">
      <alignment readingOrder="1"/>
    </xf>
    <xf numFmtId="0" fontId="0" fillId="11" borderId="0" xfId="0" applyFill="1" applyAlignment="1">
      <alignment horizontal="left" vertical="center" readingOrder="1"/>
    </xf>
    <xf numFmtId="0" fontId="9" fillId="3" borderId="1" xfId="2" applyFont="1" applyFill="1" applyBorder="1" applyAlignment="1">
      <alignment horizontal="center"/>
    </xf>
    <xf numFmtId="0" fontId="9" fillId="3" borderId="4" xfId="2" applyFont="1" applyFill="1" applyBorder="1" applyAlignment="1">
      <alignment horizontal="center"/>
    </xf>
    <xf numFmtId="0" fontId="9" fillId="3" borderId="3" xfId="2" applyFont="1" applyFill="1" applyBorder="1" applyAlignment="1">
      <alignment horizontal="center"/>
    </xf>
    <xf numFmtId="0" fontId="6" fillId="4" borderId="2" xfId="0" applyFont="1" applyFill="1" applyBorder="1" applyAlignment="1">
      <alignment horizontal="center"/>
    </xf>
    <xf numFmtId="0" fontId="10" fillId="0" borderId="2" xfId="0" applyFont="1" applyBorder="1" applyAlignment="1">
      <alignment horizontal="center"/>
    </xf>
    <xf numFmtId="0" fontId="10" fillId="64" borderId="5" xfId="2" applyFont="1" applyFill="1" applyBorder="1" applyAlignment="1">
      <alignment horizontal="center"/>
    </xf>
    <xf numFmtId="0" fontId="9" fillId="3" borderId="6" xfId="2" applyFont="1" applyFill="1" applyBorder="1" applyAlignment="1">
      <alignment horizontal="center"/>
    </xf>
    <xf numFmtId="0" fontId="9" fillId="3" borderId="20" xfId="2" applyFont="1" applyFill="1" applyBorder="1" applyAlignment="1">
      <alignment horizontal="center"/>
    </xf>
    <xf numFmtId="0" fontId="9" fillId="3" borderId="7" xfId="2" applyFont="1" applyFill="1" applyBorder="1" applyAlignment="1">
      <alignment horizontal="center"/>
    </xf>
    <xf numFmtId="0" fontId="6" fillId="4" borderId="5" xfId="0" applyFont="1" applyFill="1" applyBorder="1" applyAlignment="1">
      <alignment horizontal="center"/>
    </xf>
    <xf numFmtId="0" fontId="10" fillId="0" borderId="5" xfId="0" applyFont="1" applyBorder="1" applyAlignment="1">
      <alignment horizontal="center"/>
    </xf>
    <xf numFmtId="0" fontId="4" fillId="0" borderId="0" xfId="12" applyFont="1" applyBorder="1" applyAlignment="1">
      <alignment horizontal="center" wrapText="1"/>
    </xf>
    <xf numFmtId="0" fontId="31" fillId="5" borderId="14" xfId="12" applyFont="1" applyFill="1" applyBorder="1" applyAlignment="1">
      <alignment horizontal="center" wrapText="1"/>
    </xf>
    <xf numFmtId="0" fontId="31" fillId="11" borderId="14" xfId="12" applyFont="1" applyFill="1" applyBorder="1" applyAlignment="1">
      <alignment horizontal="center" wrapText="1"/>
    </xf>
    <xf numFmtId="0" fontId="4" fillId="0" borderId="0" xfId="12" applyBorder="1" applyAlignment="1">
      <alignment horizontal="center" wrapText="1"/>
    </xf>
    <xf numFmtId="0" fontId="19" fillId="5" borderId="15" xfId="12" applyFont="1" applyFill="1" applyBorder="1" applyAlignment="1">
      <alignment horizontal="left" readingOrder="1"/>
    </xf>
    <xf numFmtId="0" fontId="19" fillId="5" borderId="17" xfId="12" applyFont="1" applyFill="1" applyBorder="1" applyAlignment="1">
      <alignment horizontal="left" readingOrder="1"/>
    </xf>
    <xf numFmtId="0" fontId="19" fillId="0" borderId="0" xfId="12" applyFont="1" applyBorder="1" applyAlignment="1">
      <alignment horizontal="center" wrapText="1" readingOrder="1"/>
    </xf>
    <xf numFmtId="0" fontId="18" fillId="5" borderId="14" xfId="12" applyFont="1" applyFill="1" applyBorder="1" applyAlignment="1">
      <alignment horizontal="center" readingOrder="1"/>
    </xf>
    <xf numFmtId="0" fontId="18" fillId="5" borderId="15" xfId="12" applyFont="1" applyFill="1" applyBorder="1" applyAlignment="1">
      <alignment horizontal="left" readingOrder="1"/>
    </xf>
    <xf numFmtId="0" fontId="18" fillId="5" borderId="17" xfId="12" applyFont="1" applyFill="1" applyBorder="1" applyAlignment="1">
      <alignment horizontal="left" readingOrder="1"/>
    </xf>
    <xf numFmtId="0" fontId="19" fillId="0" borderId="26" xfId="12" applyFont="1" applyBorder="1" applyAlignment="1">
      <alignment horizontal="center" wrapText="1" readingOrder="1"/>
    </xf>
    <xf numFmtId="0" fontId="19" fillId="0" borderId="28" xfId="12" applyFont="1" applyBorder="1" applyAlignment="1">
      <alignment horizontal="center" wrapText="1" readingOrder="1"/>
    </xf>
    <xf numFmtId="0" fontId="19" fillId="0" borderId="29" xfId="12" applyFont="1" applyBorder="1" applyAlignment="1">
      <alignment horizontal="center" wrapText="1" readingOrder="1"/>
    </xf>
    <xf numFmtId="0" fontId="31" fillId="5" borderId="39" xfId="12" applyFont="1" applyFill="1" applyBorder="1" applyAlignment="1">
      <alignment horizontal="center" vertical="center"/>
    </xf>
    <xf numFmtId="0" fontId="31" fillId="5" borderId="40" xfId="12" applyFont="1" applyFill="1" applyBorder="1" applyAlignment="1">
      <alignment horizontal="center" vertical="center"/>
    </xf>
    <xf numFmtId="0" fontId="19" fillId="5" borderId="15" xfId="12" applyFont="1" applyFill="1" applyBorder="1" applyAlignment="1">
      <alignment horizontal="left"/>
    </xf>
    <xf numFmtId="0" fontId="19" fillId="5" borderId="16" xfId="12" applyFont="1" applyFill="1" applyBorder="1" applyAlignment="1">
      <alignment horizontal="left"/>
    </xf>
    <xf numFmtId="0" fontId="19" fillId="5" borderId="17" xfId="12" applyFont="1" applyFill="1" applyBorder="1" applyAlignment="1">
      <alignment horizontal="left"/>
    </xf>
    <xf numFmtId="0" fontId="19" fillId="0" borderId="25" xfId="12" applyFont="1" applyBorder="1" applyAlignment="1">
      <alignment horizontal="center" wrapText="1" readingOrder="1"/>
    </xf>
    <xf numFmtId="0" fontId="19" fillId="0" borderId="27" xfId="12" applyFont="1" applyBorder="1" applyAlignment="1">
      <alignment horizontal="center" wrapText="1" readingOrder="1"/>
    </xf>
  </cellXfs>
  <cellStyles count="373">
    <cellStyle name="20% - Accent1 2" xfId="39"/>
    <cellStyle name="20% - Accent1 2 2" xfId="40"/>
    <cellStyle name="20% - Accent1 3" xfId="41"/>
    <cellStyle name="20% - Accent2 2" xfId="42"/>
    <cellStyle name="20% - Accent2 3" xfId="43"/>
    <cellStyle name="20% - Accent3 2" xfId="44"/>
    <cellStyle name="20% - Accent3 2 2" xfId="45"/>
    <cellStyle name="20% - Accent3 3" xfId="46"/>
    <cellStyle name="20% - Accent4 2" xfId="47"/>
    <cellStyle name="20% - Accent4 2 2" xfId="48"/>
    <cellStyle name="20% - Accent4 3" xfId="49"/>
    <cellStyle name="20% - Accent5 2" xfId="50"/>
    <cellStyle name="20% - Accent5 3" xfId="51"/>
    <cellStyle name="20% - Accent6 2" xfId="52"/>
    <cellStyle name="20% - Accent6 3" xfId="53"/>
    <cellStyle name="40% - Accent1 2" xfId="54"/>
    <cellStyle name="40% - Accent1 2 2" xfId="55"/>
    <cellStyle name="40% - Accent1 3" xfId="56"/>
    <cellStyle name="40% - Accent2 2" xfId="57"/>
    <cellStyle name="40% - Accent2 2 2" xfId="58"/>
    <cellStyle name="40% - Accent2 3" xfId="59"/>
    <cellStyle name="40% - Accent3 2" xfId="60"/>
    <cellStyle name="40% - Accent3 2 2" xfId="61"/>
    <cellStyle name="40% - Accent3 3" xfId="62"/>
    <cellStyle name="40% - Accent4 2" xfId="63"/>
    <cellStyle name="40% - Accent4 2 2" xfId="64"/>
    <cellStyle name="40% - Accent4 3" xfId="65"/>
    <cellStyle name="40% - Accent5 2" xfId="66"/>
    <cellStyle name="40% - Accent5 3" xfId="67"/>
    <cellStyle name="40% - Accent6 2" xfId="68"/>
    <cellStyle name="40% - Accent6 2 2" xfId="69"/>
    <cellStyle name="40% - Accent6 3" xfId="70"/>
    <cellStyle name="60% - Accent1 2" xfId="71"/>
    <cellStyle name="60% - Accent1 2 2" xfId="72"/>
    <cellStyle name="60% - Accent1 3" xfId="73"/>
    <cellStyle name="60% - Accent2 2" xfId="74"/>
    <cellStyle name="60% - Accent2 2 2" xfId="75"/>
    <cellStyle name="60% - Accent2 3" xfId="76"/>
    <cellStyle name="60% - Accent3 2" xfId="77"/>
    <cellStyle name="60% - Accent3 2 2" xfId="78"/>
    <cellStyle name="60% - Accent3 3" xfId="79"/>
    <cellStyle name="60% - Accent4 2" xfId="80"/>
    <cellStyle name="60% - Accent4 2 2" xfId="81"/>
    <cellStyle name="60% - Accent4 3" xfId="82"/>
    <cellStyle name="60% - Accent5 2" xfId="83"/>
    <cellStyle name="60% - Accent5 3" xfId="84"/>
    <cellStyle name="60% - Accent6 2" xfId="85"/>
    <cellStyle name="60% - Accent6 2 2" xfId="86"/>
    <cellStyle name="60% - Accent6 3" xfId="87"/>
    <cellStyle name="Accent1 - 20%" xfId="88"/>
    <cellStyle name="Accent1 - 40%" xfId="89"/>
    <cellStyle name="Accent1 - 60%" xfId="90"/>
    <cellStyle name="Accent1 2" xfId="91"/>
    <cellStyle name="Accent1 2 2" xfId="92"/>
    <cellStyle name="Accent1 3" xfId="93"/>
    <cellStyle name="Accent2 - 20%" xfId="94"/>
    <cellStyle name="Accent2 - 40%" xfId="95"/>
    <cellStyle name="Accent2 - 60%" xfId="96"/>
    <cellStyle name="Accent2 2" xfId="97"/>
    <cellStyle name="Accent2 3" xfId="98"/>
    <cellStyle name="Accent3 - 20%" xfId="99"/>
    <cellStyle name="Accent3 - 40%" xfId="100"/>
    <cellStyle name="Accent3 - 60%" xfId="101"/>
    <cellStyle name="Accent3 2" xfId="102"/>
    <cellStyle name="Accent3 2 2" xfId="103"/>
    <cellStyle name="Accent3 3" xfId="104"/>
    <cellStyle name="Accent4 - 20%" xfId="105"/>
    <cellStyle name="Accent4 - 40%" xfId="106"/>
    <cellStyle name="Accent4 - 60%" xfId="107"/>
    <cellStyle name="Accent4 2" xfId="108"/>
    <cellStyle name="Accent4 2 2" xfId="109"/>
    <cellStyle name="Accent4 3" xfId="110"/>
    <cellStyle name="Accent5 - 20%" xfId="111"/>
    <cellStyle name="Accent5 - 40%" xfId="112"/>
    <cellStyle name="Accent5 - 60%" xfId="113"/>
    <cellStyle name="Accent5 2" xfId="114"/>
    <cellStyle name="Accent5 3" xfId="115"/>
    <cellStyle name="Accent6 - 20%" xfId="116"/>
    <cellStyle name="Accent6 - 40%" xfId="117"/>
    <cellStyle name="Accent6 - 60%" xfId="118"/>
    <cellStyle name="Accent6 2" xfId="119"/>
    <cellStyle name="Accent6 3" xfId="120"/>
    <cellStyle name="Bad 2" xfId="121"/>
    <cellStyle name="Bad 2 2" xfId="122"/>
    <cellStyle name="Bad 3" xfId="123"/>
    <cellStyle name="Calculation 2" xfId="124"/>
    <cellStyle name="Calculation 2 2" xfId="125"/>
    <cellStyle name="Calculation 3" xfId="126"/>
    <cellStyle name="Check Cell 2" xfId="127"/>
    <cellStyle name="Check Cell 3" xfId="128"/>
    <cellStyle name="Comma" xfId="370" builtinId="3"/>
    <cellStyle name="Comma [0] 2" xfId="129"/>
    <cellStyle name="Comma 2" xfId="18"/>
    <cellStyle name="Comma 2 2" xfId="130"/>
    <cellStyle name="Comma 2 2 2" xfId="131"/>
    <cellStyle name="Comma 2 2 3" xfId="132"/>
    <cellStyle name="Comma 2 3" xfId="133"/>
    <cellStyle name="Comma 2 4" xfId="134"/>
    <cellStyle name="Comma 2 5" xfId="135"/>
    <cellStyle name="Comma 3" xfId="11"/>
    <cellStyle name="Comma 3 2" xfId="136"/>
    <cellStyle name="Comma 3 2 2" xfId="137"/>
    <cellStyle name="Comma 3 2 3" xfId="138"/>
    <cellStyle name="Comma 3 3" xfId="139"/>
    <cellStyle name="Comma 3 3 2" xfId="140"/>
    <cellStyle name="Comma 3 3 3" xfId="141"/>
    <cellStyle name="Comma 3 3 4" xfId="142"/>
    <cellStyle name="Comma 3 4" xfId="143"/>
    <cellStyle name="Comma 4" xfId="144"/>
    <cellStyle name="Comma 4 2" xfId="145"/>
    <cellStyle name="Comma 4 2 2" xfId="146"/>
    <cellStyle name="Comma 4 3" xfId="147"/>
    <cellStyle name="Comma 5" xfId="148"/>
    <cellStyle name="Comma 5 2" xfId="149"/>
    <cellStyle name="Comma 5 3" xfId="150"/>
    <cellStyle name="Comma 6" xfId="151"/>
    <cellStyle name="Comma 7" xfId="152"/>
    <cellStyle name="Comma 8" xfId="153"/>
    <cellStyle name="Currency" xfId="1" builtinId="4"/>
    <cellStyle name="Currency 2" xfId="19"/>
    <cellStyle name="Currency 2 2" xfId="154"/>
    <cellStyle name="Currency 2 2 2" xfId="155"/>
    <cellStyle name="Currency 2 2 3" xfId="156"/>
    <cellStyle name="Currency 2 3" xfId="157"/>
    <cellStyle name="Currency 2 4" xfId="158"/>
    <cellStyle name="Currency 2 5" xfId="159"/>
    <cellStyle name="Currency 3" xfId="20"/>
    <cellStyle name="Currency 3 2" xfId="160"/>
    <cellStyle name="Currency 3 2 2" xfId="161"/>
    <cellStyle name="Currency 3 2 3" xfId="162"/>
    <cellStyle name="Currency 3 3" xfId="163"/>
    <cellStyle name="Currency 3 4" xfId="164"/>
    <cellStyle name="Currency 4" xfId="21"/>
    <cellStyle name="Currency 5" xfId="165"/>
    <cellStyle name="Currency 5 2" xfId="166"/>
    <cellStyle name="Currency 5 2 2" xfId="167"/>
    <cellStyle name="Currency 5 3" xfId="168"/>
    <cellStyle name="Currency 6" xfId="169"/>
    <cellStyle name="Currency 6 2" xfId="170"/>
    <cellStyle name="Currency 7" xfId="171"/>
    <cellStyle name="Currency 7 2" xfId="172"/>
    <cellStyle name="Currency 8" xfId="173"/>
    <cellStyle name="Data Field" xfId="4"/>
    <cellStyle name="Data Field 2" xfId="174"/>
    <cellStyle name="Data Field 2 2" xfId="175"/>
    <cellStyle name="Data Field 2 3" xfId="176"/>
    <cellStyle name="Data Field 3" xfId="177"/>
    <cellStyle name="Data Field 4" xfId="178"/>
    <cellStyle name="Data Name" xfId="5"/>
    <cellStyle name="Data Name 2" xfId="22"/>
    <cellStyle name="Date/Time" xfId="6"/>
    <cellStyle name="Emphasis 1" xfId="179"/>
    <cellStyle name="Emphasis 2" xfId="180"/>
    <cellStyle name="Emphasis 3" xfId="181"/>
    <cellStyle name="Explanatory Text 2" xfId="182"/>
    <cellStyle name="Explanatory Text 3" xfId="183"/>
    <cellStyle name="Good 2" xfId="184"/>
    <cellStyle name="Good 3" xfId="185"/>
    <cellStyle name="Heading" xfId="7"/>
    <cellStyle name="Heading 1 2" xfId="186"/>
    <cellStyle name="Heading 1 2 2" xfId="187"/>
    <cellStyle name="Heading 1 3" xfId="188"/>
    <cellStyle name="Heading 2 2" xfId="23"/>
    <cellStyle name="Heading 2 3" xfId="24"/>
    <cellStyle name="Heading 3 2" xfId="189"/>
    <cellStyle name="Heading 3 2 2" xfId="190"/>
    <cellStyle name="Heading 3 3" xfId="191"/>
    <cellStyle name="Heading 4 2" xfId="192"/>
    <cellStyle name="Heading 4 2 2" xfId="193"/>
    <cellStyle name="Heading 4 3" xfId="194"/>
    <cellStyle name="Hyperlink 2" xfId="25"/>
    <cellStyle name="Hyperlink 2 2" xfId="26"/>
    <cellStyle name="Hyperlink 2 2 2" xfId="195"/>
    <cellStyle name="Hyperlink 2_ResWXMF_FY10v2_0" xfId="196"/>
    <cellStyle name="Hyperlink 3" xfId="197"/>
    <cellStyle name="Hyperlink 3 2" xfId="198"/>
    <cellStyle name="Hyperlink 3 2 2" xfId="199"/>
    <cellStyle name="Hyperlink 4" xfId="200"/>
    <cellStyle name="Hyperlink 5" xfId="201"/>
    <cellStyle name="Hyperlink 6" xfId="202"/>
    <cellStyle name="Hyperlink 7" xfId="203"/>
    <cellStyle name="Hyperlink 8" xfId="204"/>
    <cellStyle name="Input 2" xfId="205"/>
    <cellStyle name="Input 3" xfId="206"/>
    <cellStyle name="Linked Cell 2" xfId="207"/>
    <cellStyle name="Linked Cell 3" xfId="208"/>
    <cellStyle name="Neutral 2" xfId="209"/>
    <cellStyle name="Neutral 3" xfId="210"/>
    <cellStyle name="Normal" xfId="0" builtinId="0"/>
    <cellStyle name="Normal 10" xfId="211"/>
    <cellStyle name="Normal 10 2" xfId="212"/>
    <cellStyle name="Normal 11" xfId="213"/>
    <cellStyle name="Normal 12" xfId="214"/>
    <cellStyle name="Normal 13" xfId="215"/>
    <cellStyle name="Normal 13 2" xfId="216"/>
    <cellStyle name="Normal 13 3" xfId="217"/>
    <cellStyle name="Normal 14" xfId="218"/>
    <cellStyle name="Normal 14 2" xfId="219"/>
    <cellStyle name="Normal 14 2 2" xfId="220"/>
    <cellStyle name="Normal 14 3" xfId="221"/>
    <cellStyle name="Normal 14 3 2" xfId="222"/>
    <cellStyle name="Normal 14 4" xfId="223"/>
    <cellStyle name="Normal 15" xfId="224"/>
    <cellStyle name="Normal 15 2" xfId="225"/>
    <cellStyle name="Normal 15 2 2" xfId="226"/>
    <cellStyle name="Normal 15 3" xfId="227"/>
    <cellStyle name="Normal 15 4" xfId="228"/>
    <cellStyle name="Normal 16" xfId="229"/>
    <cellStyle name="Normal 16 2" xfId="230"/>
    <cellStyle name="Normal 16 3" xfId="231"/>
    <cellStyle name="Normal 17" xfId="232"/>
    <cellStyle name="Normal 17 2" xfId="233"/>
    <cellStyle name="Normal 18" xfId="234"/>
    <cellStyle name="Normal 19" xfId="235"/>
    <cellStyle name="Normal 2" xfId="9"/>
    <cellStyle name="Normal 2 2" xfId="12"/>
    <cellStyle name="Normal 2 2 2" xfId="236"/>
    <cellStyle name="Normal 2 2 2 2" xfId="237"/>
    <cellStyle name="Normal 2 2 2 3" xfId="238"/>
    <cellStyle name="Normal 2 2 3" xfId="239"/>
    <cellStyle name="Normal 2 2 3 2" xfId="240"/>
    <cellStyle name="Normal 2 2 3 3" xfId="241"/>
    <cellStyle name="Normal 2 2 4" xfId="242"/>
    <cellStyle name="Normal 2 3" xfId="27"/>
    <cellStyle name="Normal 2 3 2" xfId="243"/>
    <cellStyle name="Normal 2 3 2 2" xfId="244"/>
    <cellStyle name="Normal 2 3 2 2 2" xfId="245"/>
    <cellStyle name="Normal 2 3 3" xfId="246"/>
    <cellStyle name="Normal 2 3 3 2" xfId="247"/>
    <cellStyle name="Normal 2 4" xfId="248"/>
    <cellStyle name="Normal 2 4 2" xfId="249"/>
    <cellStyle name="Normal 2 4 2 2" xfId="250"/>
    <cellStyle name="Normal 2 4 2 3" xfId="251"/>
    <cellStyle name="Normal 2 4 2 4" xfId="252"/>
    <cellStyle name="Normal 2 4 3" xfId="253"/>
    <cellStyle name="Normal 2 5" xfId="254"/>
    <cellStyle name="Normal 2 6" xfId="255"/>
    <cellStyle name="Normal 2 6 2" xfId="256"/>
    <cellStyle name="Normal 2 6 2 2" xfId="257"/>
    <cellStyle name="Normal 2 6 2 3" xfId="258"/>
    <cellStyle name="Normal 2 6 3" xfId="259"/>
    <cellStyle name="Normal 2 6 3 2" xfId="260"/>
    <cellStyle name="Normal 2 6 4" xfId="261"/>
    <cellStyle name="Normal 2 6 4 2" xfId="262"/>
    <cellStyle name="Normal 2 6 5" xfId="263"/>
    <cellStyle name="Normal 2 6 6" xfId="264"/>
    <cellStyle name="Normal 2 7" xfId="265"/>
    <cellStyle name="Normal 2 7 2" xfId="266"/>
    <cellStyle name="Normal 2 7 2 2" xfId="267"/>
    <cellStyle name="Normal 2 7 3" xfId="268"/>
    <cellStyle name="Normal 2 8" xfId="269"/>
    <cellStyle name="Normal 2 9" xfId="270"/>
    <cellStyle name="Normal 2_EStarLighting_ExistingFY10v1_5_CWv1" xfId="28"/>
    <cellStyle name="Normal 20" xfId="271"/>
    <cellStyle name="Normal 21" xfId="272"/>
    <cellStyle name="Normal 22" xfId="273"/>
    <cellStyle name="Normal 23" xfId="274"/>
    <cellStyle name="Normal 24" xfId="275"/>
    <cellStyle name="Normal 25" xfId="276"/>
    <cellStyle name="Normal 26" xfId="277"/>
    <cellStyle name="Normal 27" xfId="278"/>
    <cellStyle name="Normal 28" xfId="279"/>
    <cellStyle name="Normal 29" xfId="280"/>
    <cellStyle name="Normal 3" xfId="13"/>
    <cellStyle name="Normal 3 2" xfId="29"/>
    <cellStyle name="Normal 3 2 2" xfId="281"/>
    <cellStyle name="Normal 3 2 3" xfId="282"/>
    <cellStyle name="Normal 3 3" xfId="283"/>
    <cellStyle name="Normal 3 3 2" xfId="284"/>
    <cellStyle name="Normal 3 3 2 2" xfId="285"/>
    <cellStyle name="Normal 3 4" xfId="286"/>
    <cellStyle name="Normal 3 66" xfId="287"/>
    <cellStyle name="Normal 30" xfId="288"/>
    <cellStyle name="Normal 31" xfId="289"/>
    <cellStyle name="Normal 32" xfId="290"/>
    <cellStyle name="Normal 33" xfId="291"/>
    <cellStyle name="Normal 34" xfId="292"/>
    <cellStyle name="Normal 35" xfId="293"/>
    <cellStyle name="Normal 36" xfId="294"/>
    <cellStyle name="Normal 37" xfId="295"/>
    <cellStyle name="Normal 38" xfId="296"/>
    <cellStyle name="Normal 39" xfId="297"/>
    <cellStyle name="Normal 4" xfId="14"/>
    <cellStyle name="Normal 4 2" xfId="30"/>
    <cellStyle name="Normal 4 3" xfId="298"/>
    <cellStyle name="Normal 4 3 2" xfId="299"/>
    <cellStyle name="Normal 4 3 2 2" xfId="300"/>
    <cellStyle name="Normal 4 3 2 3" xfId="301"/>
    <cellStyle name="Normal 4 3 3" xfId="302"/>
    <cellStyle name="Normal 4 4" xfId="303"/>
    <cellStyle name="Normal 4 4 2" xfId="304"/>
    <cellStyle name="Normal 4 4 3" xfId="305"/>
    <cellStyle name="Normal 4 5" xfId="306"/>
    <cellStyle name="Normal 4 5 2" xfId="307"/>
    <cellStyle name="Normal 4 5 3" xfId="308"/>
    <cellStyle name="Normal 4 6" xfId="309"/>
    <cellStyle name="Normal 4 7" xfId="310"/>
    <cellStyle name="Normal 40" xfId="311"/>
    <cellStyle name="Normal 41" xfId="312"/>
    <cellStyle name="Normal 42" xfId="313"/>
    <cellStyle name="Normal 43" xfId="314"/>
    <cellStyle name="Normal 44" xfId="315"/>
    <cellStyle name="Normal 45" xfId="316"/>
    <cellStyle name="Normal 46" xfId="317"/>
    <cellStyle name="Normal 47" xfId="318"/>
    <cellStyle name="Normal 48" xfId="319"/>
    <cellStyle name="Normal 48 2" xfId="320"/>
    <cellStyle name="Normal 49" xfId="321"/>
    <cellStyle name="Normal 5" xfId="322"/>
    <cellStyle name="Normal 5 2" xfId="323"/>
    <cellStyle name="Normal 50" xfId="324"/>
    <cellStyle name="Normal 6" xfId="325"/>
    <cellStyle name="Normal 7" xfId="326"/>
    <cellStyle name="Normal 7 2" xfId="327"/>
    <cellStyle name="Normal 8" xfId="328"/>
    <cellStyle name="Normal 8 2" xfId="329"/>
    <cellStyle name="Normal 9" xfId="330"/>
    <cellStyle name="Normal 9 2" xfId="331"/>
    <cellStyle name="Normal 9 3" xfId="332"/>
    <cellStyle name="Normal_EStarDISHWASHERFY08v1_1" xfId="372"/>
    <cellStyle name="Normal_EStarWASHERResTiersFY07v1_3_postJan07" xfId="371"/>
    <cellStyle name="Normal_MFunit_showerheads" xfId="15"/>
    <cellStyle name="Normal_MHshowerhead" xfId="16"/>
    <cellStyle name="Normal_MTDUCT" xfId="2"/>
    <cellStyle name="Normal_MTRESAPPLPOT" xfId="38"/>
    <cellStyle name="Normal_PC-LPDPackage-6P-D14" xfId="37"/>
    <cellStyle name="Normal_ProCostFinAssumptions_Sector" xfId="3"/>
    <cellStyle name="Normal_ResDHW_2_0gpmShowerheads_FY07v1_0" xfId="17"/>
    <cellStyle name="Note 2" xfId="31"/>
    <cellStyle name="Note 2 2" xfId="333"/>
    <cellStyle name="Note 3" xfId="32"/>
    <cellStyle name="Output 2" xfId="334"/>
    <cellStyle name="Output 2 2" xfId="335"/>
    <cellStyle name="Output 3" xfId="336"/>
    <cellStyle name="Percent" xfId="8" builtinId="5"/>
    <cellStyle name="Percent 2" xfId="33"/>
    <cellStyle name="Percent 2 2" xfId="34"/>
    <cellStyle name="Percent 2 2 2" xfId="337"/>
    <cellStyle name="Percent 2 2 2 2" xfId="338"/>
    <cellStyle name="Percent 2 2 2 3" xfId="339"/>
    <cellStyle name="Percent 2 2 3" xfId="340"/>
    <cellStyle name="Percent 2 2 4" xfId="341"/>
    <cellStyle name="Percent 2 3" xfId="342"/>
    <cellStyle name="Percent 2 3 2" xfId="343"/>
    <cellStyle name="Percent 2 3 3" xfId="344"/>
    <cellStyle name="Percent 3" xfId="10"/>
    <cellStyle name="Percent 3 2" xfId="345"/>
    <cellStyle name="Percent 3 2 2" xfId="346"/>
    <cellStyle name="Percent 3 2 3" xfId="347"/>
    <cellStyle name="Percent 3 3" xfId="348"/>
    <cellStyle name="Percent 3 4" xfId="349"/>
    <cellStyle name="Percent 4" xfId="350"/>
    <cellStyle name="Percent 4 2" xfId="351"/>
    <cellStyle name="Percent 5" xfId="352"/>
    <cellStyle name="Percent 6" xfId="353"/>
    <cellStyle name="Percent 6 2" xfId="354"/>
    <cellStyle name="Percent 7" xfId="355"/>
    <cellStyle name="Percent 8" xfId="356"/>
    <cellStyle name="Sheet Title" xfId="357"/>
    <cellStyle name="Style 1" xfId="358"/>
    <cellStyle name="Style 1 2" xfId="359"/>
    <cellStyle name="Style 28" xfId="360"/>
    <cellStyle name="Title 2" xfId="361"/>
    <cellStyle name="Title 2 2" xfId="362"/>
    <cellStyle name="Title 3" xfId="363"/>
    <cellStyle name="Total 2" xfId="364"/>
    <cellStyle name="Total 2 2" xfId="365"/>
    <cellStyle name="Total 3" xfId="366"/>
    <cellStyle name="Warning Text 2" xfId="367"/>
    <cellStyle name="Warning Text 3" xfId="368"/>
    <cellStyle name="표준 2_WP-1 보고자료 (2009.06.03)" xfId="369"/>
    <cellStyle name="표준_ENERGY CONSUMP" xfId="35"/>
    <cellStyle name="常规_海外市场服务网站资料操作BOM"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Showerheads - New</c:v>
            </c:pt>
          </c:strCache>
        </c:strRef>
      </c:tx>
      <c:layout>
        <c:manualLayout>
          <c:xMode val="edge"/>
          <c:yMode val="edge"/>
          <c:x val="0.27677829502253981"/>
          <c:y val="3.2608695652174592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17"/>
          <c:y val="0.14402173913043725"/>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57494.172129974162</c:v>
                </c:pt>
                <c:pt idx="1">
                  <c:v>54995.791915573915</c:v>
                </c:pt>
                <c:pt idx="2">
                  <c:v>52127.062364595724</c:v>
                </c:pt>
                <c:pt idx="3">
                  <c:v>50431.361147622869</c:v>
                </c:pt>
                <c:pt idx="4">
                  <c:v>49076.025710977148</c:v>
                </c:pt>
                <c:pt idx="5">
                  <c:v>46759.755405353702</c:v>
                </c:pt>
                <c:pt idx="6">
                  <c:v>45457.009279169841</c:v>
                </c:pt>
                <c:pt idx="7">
                  <c:v>45239.498944569037</c:v>
                </c:pt>
                <c:pt idx="8">
                  <c:v>44772.885066881434</c:v>
                </c:pt>
                <c:pt idx="9">
                  <c:v>45568.522867608306</c:v>
                </c:pt>
                <c:pt idx="10">
                  <c:v>45886.679115813044</c:v>
                </c:pt>
                <c:pt idx="11">
                  <c:v>45297.506041784851</c:v>
                </c:pt>
                <c:pt idx="12">
                  <c:v>44097.45114230147</c:v>
                </c:pt>
                <c:pt idx="13">
                  <c:v>44143.03961201627</c:v>
                </c:pt>
                <c:pt idx="14">
                  <c:v>44658.053118450465</c:v>
                </c:pt>
                <c:pt idx="15">
                  <c:v>44467.550088531716</c:v>
                </c:pt>
                <c:pt idx="16">
                  <c:v>42996.517801997594</c:v>
                </c:pt>
                <c:pt idx="17">
                  <c:v>42922.93880982518</c:v>
                </c:pt>
                <c:pt idx="18">
                  <c:v>43031.944826063656</c:v>
                </c:pt>
                <c:pt idx="19">
                  <c:v>43324.083407627215</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pt idx="0">
                  <c:v>Multifamily - Low Rise</c:v>
                </c:pt>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pt idx="0">
                  <c:v>16940.110340657335</c:v>
                </c:pt>
                <c:pt idx="1">
                  <c:v>16748.788185301084</c:v>
                </c:pt>
                <c:pt idx="2">
                  <c:v>16599.029380092481</c:v>
                </c:pt>
                <c:pt idx="3">
                  <c:v>16070.97432008416</c:v>
                </c:pt>
                <c:pt idx="4">
                  <c:v>15148.259634232418</c:v>
                </c:pt>
                <c:pt idx="5">
                  <c:v>14604.281669158127</c:v>
                </c:pt>
                <c:pt idx="6">
                  <c:v>14471.52204959454</c:v>
                </c:pt>
                <c:pt idx="7">
                  <c:v>14740.574671067377</c:v>
                </c:pt>
                <c:pt idx="8">
                  <c:v>15099.153054088783</c:v>
                </c:pt>
                <c:pt idx="9">
                  <c:v>15509.527111925794</c:v>
                </c:pt>
                <c:pt idx="10">
                  <c:v>15574.253639043403</c:v>
                </c:pt>
                <c:pt idx="11">
                  <c:v>15578.511362231591</c:v>
                </c:pt>
                <c:pt idx="12">
                  <c:v>15603.412353392398</c:v>
                </c:pt>
                <c:pt idx="13">
                  <c:v>15433.50975251783</c:v>
                </c:pt>
                <c:pt idx="14">
                  <c:v>15247.456817912345</c:v>
                </c:pt>
                <c:pt idx="15">
                  <c:v>14935.482740616171</c:v>
                </c:pt>
                <c:pt idx="16">
                  <c:v>14680.850312057242</c:v>
                </c:pt>
                <c:pt idx="17">
                  <c:v>14494.728958483154</c:v>
                </c:pt>
                <c:pt idx="18">
                  <c:v>14215.650724070614</c:v>
                </c:pt>
                <c:pt idx="19">
                  <c:v>14161.871816255836</c:v>
                </c:pt>
              </c:numCache>
            </c:numRef>
          </c:val>
        </c:ser>
        <c:ser>
          <c:idx val="3"/>
          <c:order val="3"/>
          <c:tx>
            <c:strRef>
              <c:f>'SC-New'!$C$26</c:f>
              <c:strCache>
                <c:ptCount val="1"/>
                <c:pt idx="0">
                  <c:v>Manufactured</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pt idx="0">
                  <c:v>1047.5405888643529</c:v>
                </c:pt>
                <c:pt idx="1">
                  <c:v>1054.3880739332606</c:v>
                </c:pt>
                <c:pt idx="2">
                  <c:v>1092.1180270632278</c:v>
                </c:pt>
                <c:pt idx="3">
                  <c:v>1132.4952287579738</c:v>
                </c:pt>
                <c:pt idx="4">
                  <c:v>1097.9296382860573</c:v>
                </c:pt>
                <c:pt idx="5">
                  <c:v>1080.5994182088593</c:v>
                </c:pt>
                <c:pt idx="6">
                  <c:v>1084.1784958522885</c:v>
                </c:pt>
                <c:pt idx="7">
                  <c:v>1090.2848136836114</c:v>
                </c:pt>
                <c:pt idx="8">
                  <c:v>1096.2676036420032</c:v>
                </c:pt>
                <c:pt idx="9">
                  <c:v>1096.9591997384657</c:v>
                </c:pt>
                <c:pt idx="10">
                  <c:v>1091.0365282352143</c:v>
                </c:pt>
                <c:pt idx="11">
                  <c:v>1089.8876765600735</c:v>
                </c:pt>
                <c:pt idx="12">
                  <c:v>1091.4357196186093</c:v>
                </c:pt>
                <c:pt idx="13">
                  <c:v>1092.645256912996</c:v>
                </c:pt>
                <c:pt idx="14">
                  <c:v>1093.0386641178941</c:v>
                </c:pt>
                <c:pt idx="15">
                  <c:v>1092.5005075305421</c:v>
                </c:pt>
                <c:pt idx="16">
                  <c:v>1091.7573921625549</c:v>
                </c:pt>
                <c:pt idx="17">
                  <c:v>1091.8775361504452</c:v>
                </c:pt>
                <c:pt idx="18">
                  <c:v>1092.2091794155069</c:v>
                </c:pt>
                <c:pt idx="19">
                  <c:v>1092.3380893816563</c:v>
                </c:pt>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124420096"/>
        <c:axId val="124421632"/>
      </c:barChart>
      <c:catAx>
        <c:axId val="124420096"/>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24421632"/>
        <c:crosses val="autoZero"/>
        <c:auto val="1"/>
        <c:lblAlgn val="ctr"/>
        <c:lblOffset val="100"/>
        <c:tickLblSkip val="1"/>
        <c:tickMarkSkip val="1"/>
      </c:catAx>
      <c:valAx>
        <c:axId val="124421632"/>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124420096"/>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833" r="0.750000000000008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28</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323850</xdr:colOff>
      <xdr:row>4</xdr:row>
      <xdr:rowOff>123825</xdr:rowOff>
    </xdr:from>
    <xdr:to>
      <xdr:col>19</xdr:col>
      <xdr:colOff>0</xdr:colOff>
      <xdr:row>27</xdr:row>
      <xdr:rowOff>38100</xdr:rowOff>
    </xdr:to>
    <xdr:pic>
      <xdr:nvPicPr>
        <xdr:cNvPr id="153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981450" y="771525"/>
          <a:ext cx="7600950" cy="3638550"/>
        </a:xfrm>
        <a:prstGeom prst="rect">
          <a:avLst/>
        </a:prstGeom>
        <a:noFill/>
        <a:ln w="1">
          <a:noFill/>
          <a:miter lim="800000"/>
          <a:headEnd/>
          <a:tailEnd type="none" w="med" len="med"/>
        </a:ln>
        <a:effectLst/>
      </xdr:spPr>
    </xdr:pic>
    <xdr:clientData/>
  </xdr:twoCellAnchor>
  <xdr:twoCellAnchor editAs="oneCell">
    <xdr:from>
      <xdr:col>8</xdr:col>
      <xdr:colOff>28575</xdr:colOff>
      <xdr:row>35</xdr:row>
      <xdr:rowOff>104775</xdr:rowOff>
    </xdr:from>
    <xdr:to>
      <xdr:col>17</xdr:col>
      <xdr:colOff>371475</xdr:colOff>
      <xdr:row>51</xdr:row>
      <xdr:rowOff>66675</xdr:rowOff>
    </xdr:to>
    <xdr:pic>
      <xdr:nvPicPr>
        <xdr:cNvPr id="153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4905375" y="5772150"/>
          <a:ext cx="5829300" cy="2552700"/>
        </a:xfrm>
        <a:prstGeom prst="rect">
          <a:avLst/>
        </a:prstGeom>
        <a:noFill/>
        <a:ln w="1">
          <a:noFill/>
          <a:miter lim="800000"/>
          <a:headEnd/>
          <a:tailEnd type="none" w="med" len="med"/>
        </a:ln>
        <a:effectLst/>
      </xdr:spPr>
    </xdr:pic>
    <xdr:clientData/>
  </xdr:twoCellAnchor>
  <xdr:twoCellAnchor editAs="oneCell">
    <xdr:from>
      <xdr:col>19</xdr:col>
      <xdr:colOff>190500</xdr:colOff>
      <xdr:row>6</xdr:row>
      <xdr:rowOff>47625</xdr:rowOff>
    </xdr:from>
    <xdr:to>
      <xdr:col>35</xdr:col>
      <xdr:colOff>85725</xdr:colOff>
      <xdr:row>31</xdr:row>
      <xdr:rowOff>95250</xdr:rowOff>
    </xdr:to>
    <xdr:pic>
      <xdr:nvPicPr>
        <xdr:cNvPr id="1536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1772900" y="1019175"/>
          <a:ext cx="9648825" cy="40957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295275</xdr:colOff>
      <xdr:row>9</xdr:row>
      <xdr:rowOff>361950</xdr:rowOff>
    </xdr:from>
    <xdr:to>
      <xdr:col>39</xdr:col>
      <xdr:colOff>9525</xdr:colOff>
      <xdr:row>22</xdr:row>
      <xdr:rowOff>171450</xdr:rowOff>
    </xdr:to>
    <xdr:pic>
      <xdr:nvPicPr>
        <xdr:cNvPr id="2" name="Picture 4" descr="SS-2010-08-09_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165425" y="2752725"/>
          <a:ext cx="7162800" cy="38385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27</xdr:col>
      <xdr:colOff>533400</xdr:colOff>
      <xdr:row>35</xdr:row>
      <xdr:rowOff>9525</xdr:rowOff>
    </xdr:from>
    <xdr:to>
      <xdr:col>37</xdr:col>
      <xdr:colOff>95251</xdr:colOff>
      <xdr:row>43</xdr:row>
      <xdr:rowOff>19050</xdr:rowOff>
    </xdr:to>
    <xdr:pic>
      <xdr:nvPicPr>
        <xdr:cNvPr id="3" name="Picture 6" descr="SS-2010-08-10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8403550" y="9029700"/>
          <a:ext cx="5791200"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xdr:col>
      <xdr:colOff>981075</xdr:colOff>
      <xdr:row>9</xdr:row>
      <xdr:rowOff>381000</xdr:rowOff>
    </xdr:from>
    <xdr:to>
      <xdr:col>55</xdr:col>
      <xdr:colOff>428625</xdr:colOff>
      <xdr:row>24</xdr:row>
      <xdr:rowOff>38100</xdr:rowOff>
    </xdr:to>
    <xdr:pic>
      <xdr:nvPicPr>
        <xdr:cNvPr id="4" name="Picture 8" descr="SS-2010-08-13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39081075" y="2771775"/>
          <a:ext cx="6553200" cy="4210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45</xdr:col>
      <xdr:colOff>581025</xdr:colOff>
      <xdr:row>25</xdr:row>
      <xdr:rowOff>0</xdr:rowOff>
    </xdr:from>
    <xdr:to>
      <xdr:col>55</xdr:col>
      <xdr:colOff>333376</xdr:colOff>
      <xdr:row>65</xdr:row>
      <xdr:rowOff>85725</xdr:rowOff>
    </xdr:to>
    <xdr:pic>
      <xdr:nvPicPr>
        <xdr:cNvPr id="5" name="Picture 9" descr="SS-2010-08-13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39690675" y="7124700"/>
          <a:ext cx="5848350" cy="8486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10</xdr:row>
      <xdr:rowOff>95250</xdr:rowOff>
    </xdr:from>
    <xdr:to>
      <xdr:col>12</xdr:col>
      <xdr:colOff>104775</xdr:colOff>
      <xdr:row>11</xdr:row>
      <xdr:rowOff>76200</xdr:rowOff>
    </xdr:to>
    <xdr:sp macro="" textlink="">
      <xdr:nvSpPr>
        <xdr:cNvPr id="6" name="Rectangle 10"/>
        <xdr:cNvSpPr>
          <a:spLocks noChangeArrowheads="1"/>
        </xdr:cNvSpPr>
      </xdr:nvSpPr>
      <xdr:spPr bwMode="auto">
        <a:xfrm>
          <a:off x="4714875" y="2886075"/>
          <a:ext cx="10096500" cy="3238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49</xdr:col>
      <xdr:colOff>266700</xdr:colOff>
      <xdr:row>19</xdr:row>
      <xdr:rowOff>85725</xdr:rowOff>
    </xdr:from>
    <xdr:to>
      <xdr:col>51</xdr:col>
      <xdr:colOff>66675</xdr:colOff>
      <xdr:row>23</xdr:row>
      <xdr:rowOff>314325</xdr:rowOff>
    </xdr:to>
    <xdr:sp macro="" textlink="">
      <xdr:nvSpPr>
        <xdr:cNvPr id="7" name="Rectangle 16"/>
        <xdr:cNvSpPr>
          <a:spLocks noChangeArrowheads="1"/>
        </xdr:cNvSpPr>
      </xdr:nvSpPr>
      <xdr:spPr bwMode="auto">
        <a:xfrm>
          <a:off x="41814750" y="5638800"/>
          <a:ext cx="1019175" cy="12763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50</xdr:col>
      <xdr:colOff>352425</xdr:colOff>
      <xdr:row>45</xdr:row>
      <xdr:rowOff>19050</xdr:rowOff>
    </xdr:from>
    <xdr:to>
      <xdr:col>53</xdr:col>
      <xdr:colOff>495300</xdr:colOff>
      <xdr:row>46</xdr:row>
      <xdr:rowOff>38100</xdr:rowOff>
    </xdr:to>
    <xdr:sp macro="" textlink="">
      <xdr:nvSpPr>
        <xdr:cNvPr id="8" name="Rectangle 17"/>
        <xdr:cNvSpPr>
          <a:spLocks noChangeArrowheads="1"/>
        </xdr:cNvSpPr>
      </xdr:nvSpPr>
      <xdr:spPr bwMode="auto">
        <a:xfrm>
          <a:off x="42510075" y="11201400"/>
          <a:ext cx="1971675" cy="200025"/>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26</xdr:col>
      <xdr:colOff>600075</xdr:colOff>
      <xdr:row>52</xdr:row>
      <xdr:rowOff>152400</xdr:rowOff>
    </xdr:from>
    <xdr:to>
      <xdr:col>38</xdr:col>
      <xdr:colOff>504824</xdr:colOff>
      <xdr:row>59</xdr:row>
      <xdr:rowOff>0</xdr:rowOff>
    </xdr:to>
    <xdr:pic>
      <xdr:nvPicPr>
        <xdr:cNvPr id="9" name="Picture 12" descr="SS-2010-09-01_10.25.50.pn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7841575" y="12715875"/>
          <a:ext cx="7372350" cy="1447800"/>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61</xdr:col>
      <xdr:colOff>590550</xdr:colOff>
      <xdr:row>9</xdr:row>
      <xdr:rowOff>180975</xdr:rowOff>
    </xdr:from>
    <xdr:to>
      <xdr:col>73</xdr:col>
      <xdr:colOff>438150</xdr:colOff>
      <xdr:row>32</xdr:row>
      <xdr:rowOff>104775</xdr:rowOff>
    </xdr:to>
    <xdr:pic>
      <xdr:nvPicPr>
        <xdr:cNvPr id="10" name="Picture 20" descr="SS-2010-09-02_10.13.39.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49453800" y="2571750"/>
          <a:ext cx="7162800" cy="6010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76200</xdr:colOff>
      <xdr:row>11</xdr:row>
      <xdr:rowOff>76200</xdr:rowOff>
    </xdr:from>
    <xdr:to>
      <xdr:col>45</xdr:col>
      <xdr:colOff>447675</xdr:colOff>
      <xdr:row>67</xdr:row>
      <xdr:rowOff>47625</xdr:rowOff>
    </xdr:to>
    <xdr:cxnSp macro="">
      <xdr:nvCxnSpPr>
        <xdr:cNvPr id="11" name="Straight Arrow Connector 22"/>
        <xdr:cNvCxnSpPr>
          <a:cxnSpLocks noChangeShapeType="1"/>
          <a:stCxn id="6" idx="2"/>
        </xdr:cNvCxnSpPr>
      </xdr:nvCxnSpPr>
      <xdr:spPr bwMode="auto">
        <a:xfrm rot="16200000" flipH="1">
          <a:off x="18278475" y="-5314950"/>
          <a:ext cx="12753975" cy="298037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2343150</xdr:colOff>
      <xdr:row>12</xdr:row>
      <xdr:rowOff>200025</xdr:rowOff>
    </xdr:from>
    <xdr:to>
      <xdr:col>30</xdr:col>
      <xdr:colOff>504825</xdr:colOff>
      <xdr:row>19</xdr:row>
      <xdr:rowOff>304800</xdr:rowOff>
    </xdr:to>
    <xdr:cxnSp macro="">
      <xdr:nvCxnSpPr>
        <xdr:cNvPr id="12" name="Straight Arrow Connector 24"/>
        <xdr:cNvCxnSpPr>
          <a:cxnSpLocks noChangeShapeType="1"/>
        </xdr:cNvCxnSpPr>
      </xdr:nvCxnSpPr>
      <xdr:spPr bwMode="auto">
        <a:xfrm>
          <a:off x="3933825" y="3676650"/>
          <a:ext cx="26327100" cy="21812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2306411</xdr:colOff>
      <xdr:row>15</xdr:row>
      <xdr:rowOff>148317</xdr:rowOff>
    </xdr:from>
    <xdr:to>
      <xdr:col>31</xdr:col>
      <xdr:colOff>48986</xdr:colOff>
      <xdr:row>40</xdr:row>
      <xdr:rowOff>19049</xdr:rowOff>
    </xdr:to>
    <xdr:cxnSp macro="">
      <xdr:nvCxnSpPr>
        <xdr:cNvPr id="13" name="Straight Arrow Connector 28"/>
        <xdr:cNvCxnSpPr>
          <a:cxnSpLocks noChangeShapeType="1"/>
        </xdr:cNvCxnSpPr>
      </xdr:nvCxnSpPr>
      <xdr:spPr bwMode="auto">
        <a:xfrm>
          <a:off x="3898447" y="3876674"/>
          <a:ext cx="22929396" cy="54768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2362200</xdr:colOff>
      <xdr:row>17</xdr:row>
      <xdr:rowOff>257175</xdr:rowOff>
    </xdr:from>
    <xdr:to>
      <xdr:col>62</xdr:col>
      <xdr:colOff>400050</xdr:colOff>
      <xdr:row>40</xdr:row>
      <xdr:rowOff>47625</xdr:rowOff>
    </xdr:to>
    <xdr:cxnSp macro="">
      <xdr:nvCxnSpPr>
        <xdr:cNvPr id="14" name="Straight Arrow Connector 30"/>
        <xdr:cNvCxnSpPr>
          <a:cxnSpLocks noChangeShapeType="1"/>
        </xdr:cNvCxnSpPr>
      </xdr:nvCxnSpPr>
      <xdr:spPr bwMode="auto">
        <a:xfrm>
          <a:off x="3952875" y="5124450"/>
          <a:ext cx="45920025" cy="51149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295275</xdr:colOff>
      <xdr:row>9</xdr:row>
      <xdr:rowOff>361950</xdr:rowOff>
    </xdr:from>
    <xdr:to>
      <xdr:col>39</xdr:col>
      <xdr:colOff>9525</xdr:colOff>
      <xdr:row>22</xdr:row>
      <xdr:rowOff>171450</xdr:rowOff>
    </xdr:to>
    <xdr:pic>
      <xdr:nvPicPr>
        <xdr:cNvPr id="2" name="Picture 4" descr="SS-2010-08-09_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612600" y="1990725"/>
          <a:ext cx="7162800" cy="38385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27</xdr:col>
      <xdr:colOff>533400</xdr:colOff>
      <xdr:row>35</xdr:row>
      <xdr:rowOff>9525</xdr:rowOff>
    </xdr:from>
    <xdr:to>
      <xdr:col>37</xdr:col>
      <xdr:colOff>95251</xdr:colOff>
      <xdr:row>43</xdr:row>
      <xdr:rowOff>19050</xdr:rowOff>
    </xdr:to>
    <xdr:pic>
      <xdr:nvPicPr>
        <xdr:cNvPr id="3" name="Picture 6" descr="SS-2010-08-10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4850725" y="8267700"/>
          <a:ext cx="5791201"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xdr:col>
      <xdr:colOff>981075</xdr:colOff>
      <xdr:row>9</xdr:row>
      <xdr:rowOff>381000</xdr:rowOff>
    </xdr:from>
    <xdr:to>
      <xdr:col>55</xdr:col>
      <xdr:colOff>428625</xdr:colOff>
      <xdr:row>24</xdr:row>
      <xdr:rowOff>38100</xdr:rowOff>
    </xdr:to>
    <xdr:pic>
      <xdr:nvPicPr>
        <xdr:cNvPr id="4" name="Picture 8" descr="SS-2010-08-13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35528250" y="2009775"/>
          <a:ext cx="6553200" cy="4210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45</xdr:col>
      <xdr:colOff>581025</xdr:colOff>
      <xdr:row>25</xdr:row>
      <xdr:rowOff>0</xdr:rowOff>
    </xdr:from>
    <xdr:to>
      <xdr:col>55</xdr:col>
      <xdr:colOff>333376</xdr:colOff>
      <xdr:row>65</xdr:row>
      <xdr:rowOff>85725</xdr:rowOff>
    </xdr:to>
    <xdr:pic>
      <xdr:nvPicPr>
        <xdr:cNvPr id="5" name="Picture 9" descr="SS-2010-08-13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36137850" y="6362700"/>
          <a:ext cx="5848351" cy="8486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10</xdr:row>
      <xdr:rowOff>95250</xdr:rowOff>
    </xdr:from>
    <xdr:to>
      <xdr:col>12</xdr:col>
      <xdr:colOff>104775</xdr:colOff>
      <xdr:row>11</xdr:row>
      <xdr:rowOff>76200</xdr:rowOff>
    </xdr:to>
    <xdr:sp macro="" textlink="">
      <xdr:nvSpPr>
        <xdr:cNvPr id="6" name="Rectangle 10"/>
        <xdr:cNvSpPr>
          <a:spLocks noChangeArrowheads="1"/>
        </xdr:cNvSpPr>
      </xdr:nvSpPr>
      <xdr:spPr bwMode="auto">
        <a:xfrm>
          <a:off x="4714875" y="2124075"/>
          <a:ext cx="6543675" cy="3238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49</xdr:col>
      <xdr:colOff>266700</xdr:colOff>
      <xdr:row>19</xdr:row>
      <xdr:rowOff>85725</xdr:rowOff>
    </xdr:from>
    <xdr:to>
      <xdr:col>51</xdr:col>
      <xdr:colOff>66675</xdr:colOff>
      <xdr:row>23</xdr:row>
      <xdr:rowOff>314325</xdr:rowOff>
    </xdr:to>
    <xdr:sp macro="" textlink="">
      <xdr:nvSpPr>
        <xdr:cNvPr id="7" name="Rectangle 16"/>
        <xdr:cNvSpPr>
          <a:spLocks noChangeArrowheads="1"/>
        </xdr:cNvSpPr>
      </xdr:nvSpPr>
      <xdr:spPr bwMode="auto">
        <a:xfrm>
          <a:off x="38261925" y="4876800"/>
          <a:ext cx="1019175" cy="12763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50</xdr:col>
      <xdr:colOff>352425</xdr:colOff>
      <xdr:row>45</xdr:row>
      <xdr:rowOff>19050</xdr:rowOff>
    </xdr:from>
    <xdr:to>
      <xdr:col>53</xdr:col>
      <xdr:colOff>495300</xdr:colOff>
      <xdr:row>46</xdr:row>
      <xdr:rowOff>38100</xdr:rowOff>
    </xdr:to>
    <xdr:sp macro="" textlink="">
      <xdr:nvSpPr>
        <xdr:cNvPr id="8" name="Rectangle 17"/>
        <xdr:cNvSpPr>
          <a:spLocks noChangeArrowheads="1"/>
        </xdr:cNvSpPr>
      </xdr:nvSpPr>
      <xdr:spPr bwMode="auto">
        <a:xfrm>
          <a:off x="38957250" y="10439400"/>
          <a:ext cx="1971675" cy="200025"/>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26</xdr:col>
      <xdr:colOff>600075</xdr:colOff>
      <xdr:row>52</xdr:row>
      <xdr:rowOff>152400</xdr:rowOff>
    </xdr:from>
    <xdr:to>
      <xdr:col>38</xdr:col>
      <xdr:colOff>504824</xdr:colOff>
      <xdr:row>59</xdr:row>
      <xdr:rowOff>0</xdr:rowOff>
    </xdr:to>
    <xdr:pic>
      <xdr:nvPicPr>
        <xdr:cNvPr id="9" name="Picture 12" descr="SS-2010-09-01_10.25.50.pn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4288750" y="11953875"/>
          <a:ext cx="7372349" cy="1447800"/>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61</xdr:col>
      <xdr:colOff>590550</xdr:colOff>
      <xdr:row>9</xdr:row>
      <xdr:rowOff>180975</xdr:rowOff>
    </xdr:from>
    <xdr:to>
      <xdr:col>73</xdr:col>
      <xdr:colOff>438150</xdr:colOff>
      <xdr:row>32</xdr:row>
      <xdr:rowOff>104775</xdr:rowOff>
    </xdr:to>
    <xdr:pic>
      <xdr:nvPicPr>
        <xdr:cNvPr id="10" name="Picture 20" descr="SS-2010-09-02_10.13.39.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45900975" y="1809750"/>
          <a:ext cx="7162800" cy="6010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76200</xdr:colOff>
      <xdr:row>11</xdr:row>
      <xdr:rowOff>76200</xdr:rowOff>
    </xdr:from>
    <xdr:to>
      <xdr:col>45</xdr:col>
      <xdr:colOff>447675</xdr:colOff>
      <xdr:row>67</xdr:row>
      <xdr:rowOff>47625</xdr:rowOff>
    </xdr:to>
    <xdr:cxnSp macro="">
      <xdr:nvCxnSpPr>
        <xdr:cNvPr id="11" name="Straight Arrow Connector 22"/>
        <xdr:cNvCxnSpPr>
          <a:cxnSpLocks noChangeShapeType="1"/>
          <a:stCxn id="6" idx="2"/>
        </xdr:cNvCxnSpPr>
      </xdr:nvCxnSpPr>
      <xdr:spPr bwMode="auto">
        <a:xfrm rot="16200000" flipH="1">
          <a:off x="14725650" y="-6076950"/>
          <a:ext cx="12753975" cy="298037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2343150</xdr:colOff>
      <xdr:row>12</xdr:row>
      <xdr:rowOff>200025</xdr:rowOff>
    </xdr:from>
    <xdr:to>
      <xdr:col>30</xdr:col>
      <xdr:colOff>504825</xdr:colOff>
      <xdr:row>19</xdr:row>
      <xdr:rowOff>304800</xdr:rowOff>
    </xdr:to>
    <xdr:cxnSp macro="">
      <xdr:nvCxnSpPr>
        <xdr:cNvPr id="12" name="Straight Arrow Connector 24"/>
        <xdr:cNvCxnSpPr>
          <a:cxnSpLocks noChangeShapeType="1"/>
        </xdr:cNvCxnSpPr>
      </xdr:nvCxnSpPr>
      <xdr:spPr bwMode="auto">
        <a:xfrm>
          <a:off x="3933825" y="2914650"/>
          <a:ext cx="22774275" cy="21812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2333625</xdr:colOff>
      <xdr:row>15</xdr:row>
      <xdr:rowOff>66675</xdr:rowOff>
    </xdr:from>
    <xdr:to>
      <xdr:col>31</xdr:col>
      <xdr:colOff>76200</xdr:colOff>
      <xdr:row>39</xdr:row>
      <xdr:rowOff>114300</xdr:rowOff>
    </xdr:to>
    <xdr:cxnSp macro="">
      <xdr:nvCxnSpPr>
        <xdr:cNvPr id="13" name="Straight Arrow Connector 28"/>
        <xdr:cNvCxnSpPr>
          <a:cxnSpLocks noChangeShapeType="1"/>
        </xdr:cNvCxnSpPr>
      </xdr:nvCxnSpPr>
      <xdr:spPr bwMode="auto">
        <a:xfrm>
          <a:off x="3924300" y="3810000"/>
          <a:ext cx="22983825" cy="5553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2362200</xdr:colOff>
      <xdr:row>17</xdr:row>
      <xdr:rowOff>257175</xdr:rowOff>
    </xdr:from>
    <xdr:to>
      <xdr:col>62</xdr:col>
      <xdr:colOff>400050</xdr:colOff>
      <xdr:row>40</xdr:row>
      <xdr:rowOff>47625</xdr:rowOff>
    </xdr:to>
    <xdr:cxnSp macro="">
      <xdr:nvCxnSpPr>
        <xdr:cNvPr id="14" name="Straight Arrow Connector 30"/>
        <xdr:cNvCxnSpPr>
          <a:cxnSpLocks noChangeShapeType="1"/>
        </xdr:cNvCxnSpPr>
      </xdr:nvCxnSpPr>
      <xdr:spPr bwMode="auto">
        <a:xfrm>
          <a:off x="3952875" y="4362450"/>
          <a:ext cx="42367200" cy="51149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27</xdr:col>
      <xdr:colOff>295275</xdr:colOff>
      <xdr:row>9</xdr:row>
      <xdr:rowOff>361950</xdr:rowOff>
    </xdr:from>
    <xdr:to>
      <xdr:col>39</xdr:col>
      <xdr:colOff>9525</xdr:colOff>
      <xdr:row>22</xdr:row>
      <xdr:rowOff>171450</xdr:rowOff>
    </xdr:to>
    <xdr:pic>
      <xdr:nvPicPr>
        <xdr:cNvPr id="2" name="Picture 4" descr="SS-2010-08-09_1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612600" y="1990725"/>
          <a:ext cx="7162800" cy="38385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27</xdr:col>
      <xdr:colOff>533400</xdr:colOff>
      <xdr:row>35</xdr:row>
      <xdr:rowOff>9525</xdr:rowOff>
    </xdr:from>
    <xdr:to>
      <xdr:col>37</xdr:col>
      <xdr:colOff>95251</xdr:colOff>
      <xdr:row>43</xdr:row>
      <xdr:rowOff>19050</xdr:rowOff>
    </xdr:to>
    <xdr:pic>
      <xdr:nvPicPr>
        <xdr:cNvPr id="3" name="Picture 6" descr="SS-2010-08-10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24850725" y="8267700"/>
          <a:ext cx="5791201" cy="1781175"/>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44</xdr:col>
      <xdr:colOff>981075</xdr:colOff>
      <xdr:row>9</xdr:row>
      <xdr:rowOff>381000</xdr:rowOff>
    </xdr:from>
    <xdr:to>
      <xdr:col>55</xdr:col>
      <xdr:colOff>428625</xdr:colOff>
      <xdr:row>24</xdr:row>
      <xdr:rowOff>38100</xdr:rowOff>
    </xdr:to>
    <xdr:pic>
      <xdr:nvPicPr>
        <xdr:cNvPr id="4" name="Picture 8" descr="SS-2010-08-13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35528250" y="2009775"/>
          <a:ext cx="6553200" cy="4210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45</xdr:col>
      <xdr:colOff>581025</xdr:colOff>
      <xdr:row>25</xdr:row>
      <xdr:rowOff>0</xdr:rowOff>
    </xdr:from>
    <xdr:to>
      <xdr:col>55</xdr:col>
      <xdr:colOff>333376</xdr:colOff>
      <xdr:row>65</xdr:row>
      <xdr:rowOff>85725</xdr:rowOff>
    </xdr:to>
    <xdr:pic>
      <xdr:nvPicPr>
        <xdr:cNvPr id="5" name="Picture 9" descr="SS-2010-08-13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36137850" y="6362700"/>
          <a:ext cx="5848351" cy="84867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10</xdr:row>
      <xdr:rowOff>95250</xdr:rowOff>
    </xdr:from>
    <xdr:to>
      <xdr:col>12</xdr:col>
      <xdr:colOff>104775</xdr:colOff>
      <xdr:row>11</xdr:row>
      <xdr:rowOff>76200</xdr:rowOff>
    </xdr:to>
    <xdr:sp macro="" textlink="">
      <xdr:nvSpPr>
        <xdr:cNvPr id="6" name="Rectangle 10"/>
        <xdr:cNvSpPr>
          <a:spLocks noChangeArrowheads="1"/>
        </xdr:cNvSpPr>
      </xdr:nvSpPr>
      <xdr:spPr bwMode="auto">
        <a:xfrm>
          <a:off x="4714875" y="2124075"/>
          <a:ext cx="6543675" cy="3238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49</xdr:col>
      <xdr:colOff>266700</xdr:colOff>
      <xdr:row>19</xdr:row>
      <xdr:rowOff>85725</xdr:rowOff>
    </xdr:from>
    <xdr:to>
      <xdr:col>51</xdr:col>
      <xdr:colOff>66675</xdr:colOff>
      <xdr:row>23</xdr:row>
      <xdr:rowOff>314325</xdr:rowOff>
    </xdr:to>
    <xdr:sp macro="" textlink="">
      <xdr:nvSpPr>
        <xdr:cNvPr id="7" name="Rectangle 16"/>
        <xdr:cNvSpPr>
          <a:spLocks noChangeArrowheads="1"/>
        </xdr:cNvSpPr>
      </xdr:nvSpPr>
      <xdr:spPr bwMode="auto">
        <a:xfrm>
          <a:off x="38261925" y="4876800"/>
          <a:ext cx="1019175" cy="127635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50</xdr:col>
      <xdr:colOff>352425</xdr:colOff>
      <xdr:row>45</xdr:row>
      <xdr:rowOff>19050</xdr:rowOff>
    </xdr:from>
    <xdr:to>
      <xdr:col>53</xdr:col>
      <xdr:colOff>495300</xdr:colOff>
      <xdr:row>46</xdr:row>
      <xdr:rowOff>38100</xdr:rowOff>
    </xdr:to>
    <xdr:sp macro="" textlink="">
      <xdr:nvSpPr>
        <xdr:cNvPr id="8" name="Rectangle 17"/>
        <xdr:cNvSpPr>
          <a:spLocks noChangeArrowheads="1"/>
        </xdr:cNvSpPr>
      </xdr:nvSpPr>
      <xdr:spPr bwMode="auto">
        <a:xfrm>
          <a:off x="38957250" y="10439400"/>
          <a:ext cx="1971675" cy="200025"/>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26</xdr:col>
      <xdr:colOff>600075</xdr:colOff>
      <xdr:row>52</xdr:row>
      <xdr:rowOff>152400</xdr:rowOff>
    </xdr:from>
    <xdr:to>
      <xdr:col>38</xdr:col>
      <xdr:colOff>504824</xdr:colOff>
      <xdr:row>59</xdr:row>
      <xdr:rowOff>0</xdr:rowOff>
    </xdr:to>
    <xdr:pic>
      <xdr:nvPicPr>
        <xdr:cNvPr id="9" name="Picture 12" descr="SS-2010-09-01_10.25.50.png"/>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24288750" y="11953875"/>
          <a:ext cx="7372349" cy="1447800"/>
        </a:xfrm>
        <a:prstGeom prst="rect">
          <a:avLst/>
        </a:prstGeom>
        <a:noFill/>
        <a:ln w="9525">
          <a:solidFill>
            <a:srgbClr val="4F81BD"/>
          </a:solidFill>
          <a:miter lim="800000"/>
          <a:headEnd/>
          <a:tailEnd/>
        </a:ln>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61</xdr:col>
      <xdr:colOff>590550</xdr:colOff>
      <xdr:row>9</xdr:row>
      <xdr:rowOff>180975</xdr:rowOff>
    </xdr:from>
    <xdr:to>
      <xdr:col>73</xdr:col>
      <xdr:colOff>438150</xdr:colOff>
      <xdr:row>32</xdr:row>
      <xdr:rowOff>104775</xdr:rowOff>
    </xdr:to>
    <xdr:pic>
      <xdr:nvPicPr>
        <xdr:cNvPr id="10" name="Picture 20" descr="SS-2010-09-02_10.13.39.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45900975" y="1809750"/>
          <a:ext cx="7162800" cy="6010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4</xdr:col>
      <xdr:colOff>76200</xdr:colOff>
      <xdr:row>11</xdr:row>
      <xdr:rowOff>76200</xdr:rowOff>
    </xdr:from>
    <xdr:to>
      <xdr:col>45</xdr:col>
      <xdr:colOff>447675</xdr:colOff>
      <xdr:row>67</xdr:row>
      <xdr:rowOff>47625</xdr:rowOff>
    </xdr:to>
    <xdr:cxnSp macro="">
      <xdr:nvCxnSpPr>
        <xdr:cNvPr id="11" name="Straight Arrow Connector 22"/>
        <xdr:cNvCxnSpPr>
          <a:cxnSpLocks noChangeShapeType="1"/>
          <a:stCxn id="6" idx="2"/>
        </xdr:cNvCxnSpPr>
      </xdr:nvCxnSpPr>
      <xdr:spPr bwMode="auto">
        <a:xfrm rot="16200000" flipH="1">
          <a:off x="14725650" y="-6076950"/>
          <a:ext cx="12753975" cy="298037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2343150</xdr:colOff>
      <xdr:row>12</xdr:row>
      <xdr:rowOff>200025</xdr:rowOff>
    </xdr:from>
    <xdr:to>
      <xdr:col>30</xdr:col>
      <xdr:colOff>504825</xdr:colOff>
      <xdr:row>19</xdr:row>
      <xdr:rowOff>304800</xdr:rowOff>
    </xdr:to>
    <xdr:cxnSp macro="">
      <xdr:nvCxnSpPr>
        <xdr:cNvPr id="12" name="Straight Arrow Connector 24"/>
        <xdr:cNvCxnSpPr>
          <a:cxnSpLocks noChangeShapeType="1"/>
        </xdr:cNvCxnSpPr>
      </xdr:nvCxnSpPr>
      <xdr:spPr bwMode="auto">
        <a:xfrm>
          <a:off x="3933825" y="2914650"/>
          <a:ext cx="22774275" cy="21812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2333625</xdr:colOff>
      <xdr:row>15</xdr:row>
      <xdr:rowOff>66675</xdr:rowOff>
    </xdr:from>
    <xdr:to>
      <xdr:col>31</xdr:col>
      <xdr:colOff>76200</xdr:colOff>
      <xdr:row>39</xdr:row>
      <xdr:rowOff>114300</xdr:rowOff>
    </xdr:to>
    <xdr:cxnSp macro="">
      <xdr:nvCxnSpPr>
        <xdr:cNvPr id="13" name="Straight Arrow Connector 28"/>
        <xdr:cNvCxnSpPr>
          <a:cxnSpLocks noChangeShapeType="1"/>
        </xdr:cNvCxnSpPr>
      </xdr:nvCxnSpPr>
      <xdr:spPr bwMode="auto">
        <a:xfrm>
          <a:off x="3924300" y="3810000"/>
          <a:ext cx="22983825" cy="555307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2</xdr:col>
      <xdr:colOff>2362200</xdr:colOff>
      <xdr:row>17</xdr:row>
      <xdr:rowOff>257175</xdr:rowOff>
    </xdr:from>
    <xdr:to>
      <xdr:col>62</xdr:col>
      <xdr:colOff>400050</xdr:colOff>
      <xdr:row>40</xdr:row>
      <xdr:rowOff>47625</xdr:rowOff>
    </xdr:to>
    <xdr:cxnSp macro="">
      <xdr:nvCxnSpPr>
        <xdr:cNvPr id="14" name="Straight Arrow Connector 30"/>
        <xdr:cNvCxnSpPr>
          <a:cxnSpLocks noChangeShapeType="1"/>
        </xdr:cNvCxnSpPr>
      </xdr:nvCxnSpPr>
      <xdr:spPr bwMode="auto">
        <a:xfrm>
          <a:off x="3952875" y="4362450"/>
          <a:ext cx="42367200" cy="511492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485775</xdr:colOff>
      <xdr:row>3</xdr:row>
      <xdr:rowOff>9525</xdr:rowOff>
    </xdr:from>
    <xdr:to>
      <xdr:col>20</xdr:col>
      <xdr:colOff>581025</xdr:colOff>
      <xdr:row>11</xdr:row>
      <xdr:rowOff>161925</xdr:rowOff>
    </xdr:to>
    <xdr:pic>
      <xdr:nvPicPr>
        <xdr:cNvPr id="2" name="Picture 20" descr="SS-2010-09-08_08.10.15.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020425" y="600075"/>
          <a:ext cx="3143250" cy="1695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228600</xdr:colOff>
      <xdr:row>4</xdr:row>
      <xdr:rowOff>0</xdr:rowOff>
    </xdr:from>
    <xdr:to>
      <xdr:col>39</xdr:col>
      <xdr:colOff>409575</xdr:colOff>
      <xdr:row>24</xdr:row>
      <xdr:rowOff>295275</xdr:rowOff>
    </xdr:to>
    <xdr:pic>
      <xdr:nvPicPr>
        <xdr:cNvPr id="3" name="Picture 7" descr="SS-2010-08-09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249650" y="1352550"/>
          <a:ext cx="9324975" cy="430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13</xdr:row>
      <xdr:rowOff>76200</xdr:rowOff>
    </xdr:from>
    <xdr:to>
      <xdr:col>29</xdr:col>
      <xdr:colOff>476250</xdr:colOff>
      <xdr:row>25</xdr:row>
      <xdr:rowOff>123825</xdr:rowOff>
    </xdr:to>
    <xdr:sp macro="" textlink="">
      <xdr:nvSpPr>
        <xdr:cNvPr id="4" name="Line 8"/>
        <xdr:cNvSpPr>
          <a:spLocks noChangeShapeType="1"/>
        </xdr:cNvSpPr>
      </xdr:nvSpPr>
      <xdr:spPr bwMode="auto">
        <a:xfrm flipV="1">
          <a:off x="2952750" y="3209925"/>
          <a:ext cx="16592550" cy="351472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2</xdr:col>
      <xdr:colOff>628650</xdr:colOff>
      <xdr:row>27</xdr:row>
      <xdr:rowOff>95250</xdr:rowOff>
    </xdr:from>
    <xdr:to>
      <xdr:col>25</xdr:col>
      <xdr:colOff>28575</xdr:colOff>
      <xdr:row>34</xdr:row>
      <xdr:rowOff>180975</xdr:rowOff>
    </xdr:to>
    <xdr:sp macro="" textlink="">
      <xdr:nvSpPr>
        <xdr:cNvPr id="5" name="Line 13"/>
        <xdr:cNvSpPr>
          <a:spLocks noChangeShapeType="1"/>
        </xdr:cNvSpPr>
      </xdr:nvSpPr>
      <xdr:spPr bwMode="auto">
        <a:xfrm>
          <a:off x="2190750" y="7115175"/>
          <a:ext cx="14468475" cy="14668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25</xdr:col>
      <xdr:colOff>9525</xdr:colOff>
      <xdr:row>50</xdr:row>
      <xdr:rowOff>190500</xdr:rowOff>
    </xdr:from>
    <xdr:to>
      <xdr:col>39</xdr:col>
      <xdr:colOff>485775</xdr:colOff>
      <xdr:row>74</xdr:row>
      <xdr:rowOff>28575</xdr:rowOff>
    </xdr:to>
    <xdr:pic>
      <xdr:nvPicPr>
        <xdr:cNvPr id="6" name="Picture 14" descr="SS-2010-08-10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40175" y="12353925"/>
          <a:ext cx="9010650" cy="4867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25</xdr:col>
      <xdr:colOff>9525</xdr:colOff>
      <xdr:row>75</xdr:row>
      <xdr:rowOff>190500</xdr:rowOff>
    </xdr:from>
    <xdr:to>
      <xdr:col>39</xdr:col>
      <xdr:colOff>514350</xdr:colOff>
      <xdr:row>98</xdr:row>
      <xdr:rowOff>66675</xdr:rowOff>
    </xdr:to>
    <xdr:pic>
      <xdr:nvPicPr>
        <xdr:cNvPr id="7" name="Picture 15" descr="SS-2010-08-10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6640175" y="17468850"/>
          <a:ext cx="9039225" cy="4657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657225</xdr:colOff>
      <xdr:row>25</xdr:row>
      <xdr:rowOff>123825</xdr:rowOff>
    </xdr:from>
    <xdr:to>
      <xdr:col>30</xdr:col>
      <xdr:colOff>476250</xdr:colOff>
      <xdr:row>65</xdr:row>
      <xdr:rowOff>152400</xdr:rowOff>
    </xdr:to>
    <xdr:sp macro="" textlink="">
      <xdr:nvSpPr>
        <xdr:cNvPr id="8" name="Line 16"/>
        <xdr:cNvSpPr>
          <a:spLocks noChangeShapeType="1"/>
        </xdr:cNvSpPr>
      </xdr:nvSpPr>
      <xdr:spPr bwMode="auto">
        <a:xfrm>
          <a:off x="4562475" y="6724650"/>
          <a:ext cx="15592425" cy="871537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5</xdr:col>
      <xdr:colOff>676275</xdr:colOff>
      <xdr:row>26</xdr:row>
      <xdr:rowOff>114300</xdr:rowOff>
    </xdr:from>
    <xdr:to>
      <xdr:col>31</xdr:col>
      <xdr:colOff>57150</xdr:colOff>
      <xdr:row>88</xdr:row>
      <xdr:rowOff>47625</xdr:rowOff>
    </xdr:to>
    <xdr:sp macro="" textlink="">
      <xdr:nvSpPr>
        <xdr:cNvPr id="9" name="Line 17"/>
        <xdr:cNvSpPr>
          <a:spLocks noChangeShapeType="1"/>
        </xdr:cNvSpPr>
      </xdr:nvSpPr>
      <xdr:spPr bwMode="auto">
        <a:xfrm>
          <a:off x="4581525" y="6924675"/>
          <a:ext cx="15763875" cy="136207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26</xdr:col>
      <xdr:colOff>104775</xdr:colOff>
      <xdr:row>31</xdr:row>
      <xdr:rowOff>9525</xdr:rowOff>
    </xdr:from>
    <xdr:to>
      <xdr:col>38</xdr:col>
      <xdr:colOff>333375</xdr:colOff>
      <xdr:row>40</xdr:row>
      <xdr:rowOff>57150</xdr:rowOff>
    </xdr:to>
    <xdr:pic>
      <xdr:nvPicPr>
        <xdr:cNvPr id="10" name="Picture 18" descr="SS-2010-08-10_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7345025" y="7839075"/>
          <a:ext cx="7543800" cy="2047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600075</xdr:colOff>
      <xdr:row>106</xdr:row>
      <xdr:rowOff>57150</xdr:rowOff>
    </xdr:from>
    <xdr:to>
      <xdr:col>30</xdr:col>
      <xdr:colOff>228600</xdr:colOff>
      <xdr:row>115</xdr:row>
      <xdr:rowOff>66675</xdr:rowOff>
    </xdr:to>
    <xdr:pic>
      <xdr:nvPicPr>
        <xdr:cNvPr id="11" name="Picture 9" descr="SS-2010-09-02_08.50.07.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16621125" y="24393525"/>
          <a:ext cx="3286125" cy="1724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600075</xdr:colOff>
      <xdr:row>25</xdr:row>
      <xdr:rowOff>104775</xdr:rowOff>
    </xdr:from>
    <xdr:to>
      <xdr:col>24</xdr:col>
      <xdr:colOff>552450</xdr:colOff>
      <xdr:row>106</xdr:row>
      <xdr:rowOff>133350</xdr:rowOff>
    </xdr:to>
    <xdr:cxnSp macro="">
      <xdr:nvCxnSpPr>
        <xdr:cNvPr id="12" name="Straight Arrow Connector 11"/>
        <xdr:cNvCxnSpPr>
          <a:cxnSpLocks noChangeShapeType="1"/>
        </xdr:cNvCxnSpPr>
      </xdr:nvCxnSpPr>
      <xdr:spPr bwMode="auto">
        <a:xfrm rot="16200000" flipH="1">
          <a:off x="-295275" y="7600950"/>
          <a:ext cx="17764125" cy="159734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15</xdr:col>
      <xdr:colOff>95250</xdr:colOff>
      <xdr:row>9</xdr:row>
      <xdr:rowOff>28575</xdr:rowOff>
    </xdr:from>
    <xdr:to>
      <xdr:col>22</xdr:col>
      <xdr:colOff>142875</xdr:colOff>
      <xdr:row>14</xdr:row>
      <xdr:rowOff>171450</xdr:rowOff>
    </xdr:to>
    <xdr:pic>
      <xdr:nvPicPr>
        <xdr:cNvPr id="13" name="Picture 14" descr="SS-2010-09-02_16.45.12.png"/>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0629900" y="2352675"/>
          <a:ext cx="4314825" cy="1162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19</xdr:col>
      <xdr:colOff>466725</xdr:colOff>
      <xdr:row>5</xdr:row>
      <xdr:rowOff>47625</xdr:rowOff>
    </xdr:from>
    <xdr:to>
      <xdr:col>20</xdr:col>
      <xdr:colOff>571500</xdr:colOff>
      <xdr:row>6</xdr:row>
      <xdr:rowOff>19050</xdr:rowOff>
    </xdr:to>
    <xdr:sp macro="" textlink="">
      <xdr:nvSpPr>
        <xdr:cNvPr id="14" name="Rectangle 17"/>
        <xdr:cNvSpPr>
          <a:spLocks noChangeArrowheads="1"/>
        </xdr:cNvSpPr>
      </xdr:nvSpPr>
      <xdr:spPr bwMode="auto">
        <a:xfrm>
          <a:off x="13439775" y="1609725"/>
          <a:ext cx="714375" cy="16192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16</xdr:col>
      <xdr:colOff>504825</xdr:colOff>
      <xdr:row>12</xdr:row>
      <xdr:rowOff>133350</xdr:rowOff>
    </xdr:from>
    <xdr:to>
      <xdr:col>18</xdr:col>
      <xdr:colOff>361950</xdr:colOff>
      <xdr:row>13</xdr:row>
      <xdr:rowOff>133350</xdr:rowOff>
    </xdr:to>
    <xdr:sp macro="" textlink="">
      <xdr:nvSpPr>
        <xdr:cNvPr id="15" name="Rectangle 18"/>
        <xdr:cNvSpPr>
          <a:spLocks noChangeArrowheads="1"/>
        </xdr:cNvSpPr>
      </xdr:nvSpPr>
      <xdr:spPr bwMode="auto">
        <a:xfrm>
          <a:off x="11649075" y="3057525"/>
          <a:ext cx="1076325" cy="209550"/>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3</xdr:col>
      <xdr:colOff>152400</xdr:colOff>
      <xdr:row>10</xdr:row>
      <xdr:rowOff>133350</xdr:rowOff>
    </xdr:from>
    <xdr:to>
      <xdr:col>4</xdr:col>
      <xdr:colOff>142875</xdr:colOff>
      <xdr:row>13</xdr:row>
      <xdr:rowOff>114300</xdr:rowOff>
    </xdr:to>
    <xdr:sp macro="" textlink="">
      <xdr:nvSpPr>
        <xdr:cNvPr id="16" name="Rectangle 19"/>
        <xdr:cNvSpPr>
          <a:spLocks noChangeArrowheads="1"/>
        </xdr:cNvSpPr>
      </xdr:nvSpPr>
      <xdr:spPr bwMode="auto">
        <a:xfrm>
          <a:off x="2495550" y="2647950"/>
          <a:ext cx="771525" cy="60007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xdr:col>
      <xdr:colOff>142875</xdr:colOff>
      <xdr:row>6</xdr:row>
      <xdr:rowOff>19050</xdr:rowOff>
    </xdr:from>
    <xdr:to>
      <xdr:col>20</xdr:col>
      <xdr:colOff>219075</xdr:colOff>
      <xdr:row>12</xdr:row>
      <xdr:rowOff>28575</xdr:rowOff>
    </xdr:to>
    <xdr:cxnSp macro="">
      <xdr:nvCxnSpPr>
        <xdr:cNvPr id="17" name="Straight Arrow Connector 24"/>
        <xdr:cNvCxnSpPr>
          <a:cxnSpLocks noChangeShapeType="1"/>
          <a:stCxn id="16" idx="3"/>
          <a:endCxn id="14" idx="2"/>
        </xdr:cNvCxnSpPr>
      </xdr:nvCxnSpPr>
      <xdr:spPr bwMode="auto">
        <a:xfrm flipV="1">
          <a:off x="3267075" y="1771650"/>
          <a:ext cx="10534650" cy="1181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142875</xdr:colOff>
      <xdr:row>12</xdr:row>
      <xdr:rowOff>28575</xdr:rowOff>
    </xdr:from>
    <xdr:to>
      <xdr:col>16</xdr:col>
      <xdr:colOff>504825</xdr:colOff>
      <xdr:row>13</xdr:row>
      <xdr:rowOff>28575</xdr:rowOff>
    </xdr:to>
    <xdr:cxnSp macro="">
      <xdr:nvCxnSpPr>
        <xdr:cNvPr id="18" name="Straight Arrow Connector 27"/>
        <xdr:cNvCxnSpPr>
          <a:cxnSpLocks noChangeShapeType="1"/>
          <a:stCxn id="16" idx="3"/>
          <a:endCxn id="15" idx="1"/>
        </xdr:cNvCxnSpPr>
      </xdr:nvCxnSpPr>
      <xdr:spPr bwMode="auto">
        <a:xfrm>
          <a:off x="3267075" y="2952750"/>
          <a:ext cx="8382000" cy="209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24</xdr:col>
      <xdr:colOff>0</xdr:colOff>
      <xdr:row>123</xdr:row>
      <xdr:rowOff>0</xdr:rowOff>
    </xdr:from>
    <xdr:to>
      <xdr:col>36</xdr:col>
      <xdr:colOff>0</xdr:colOff>
      <xdr:row>141</xdr:row>
      <xdr:rowOff>127541</xdr:rowOff>
    </xdr:to>
    <xdr:pic>
      <xdr:nvPicPr>
        <xdr:cNvPr id="19" name="Picture 1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6021050" y="27908250"/>
          <a:ext cx="7315200" cy="35755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723900</xdr:colOff>
      <xdr:row>124</xdr:row>
      <xdr:rowOff>114300</xdr:rowOff>
    </xdr:from>
    <xdr:to>
      <xdr:col>30</xdr:col>
      <xdr:colOff>581025</xdr:colOff>
      <xdr:row>129</xdr:row>
      <xdr:rowOff>9525</xdr:rowOff>
    </xdr:to>
    <xdr:cxnSp macro="">
      <xdr:nvCxnSpPr>
        <xdr:cNvPr id="20" name="Straight Arrow Connector 11"/>
        <xdr:cNvCxnSpPr>
          <a:cxnSpLocks noChangeShapeType="1"/>
        </xdr:cNvCxnSpPr>
      </xdr:nvCxnSpPr>
      <xdr:spPr bwMode="auto">
        <a:xfrm>
          <a:off x="4629150" y="28232100"/>
          <a:ext cx="15630525" cy="9429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485775</xdr:colOff>
      <xdr:row>3</xdr:row>
      <xdr:rowOff>9525</xdr:rowOff>
    </xdr:from>
    <xdr:to>
      <xdr:col>20</xdr:col>
      <xdr:colOff>581025</xdr:colOff>
      <xdr:row>11</xdr:row>
      <xdr:rowOff>161925</xdr:rowOff>
    </xdr:to>
    <xdr:pic>
      <xdr:nvPicPr>
        <xdr:cNvPr id="2" name="Picture 20" descr="SS-2010-09-08_08.10.15.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020425" y="600075"/>
          <a:ext cx="3143250" cy="1695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228600</xdr:colOff>
      <xdr:row>4</xdr:row>
      <xdr:rowOff>0</xdr:rowOff>
    </xdr:from>
    <xdr:to>
      <xdr:col>39</xdr:col>
      <xdr:colOff>409575</xdr:colOff>
      <xdr:row>24</xdr:row>
      <xdr:rowOff>295275</xdr:rowOff>
    </xdr:to>
    <xdr:pic>
      <xdr:nvPicPr>
        <xdr:cNvPr id="3" name="Picture 7" descr="SS-2010-08-09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249650" y="790575"/>
          <a:ext cx="9324975" cy="430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13</xdr:row>
      <xdr:rowOff>76200</xdr:rowOff>
    </xdr:from>
    <xdr:to>
      <xdr:col>29</xdr:col>
      <xdr:colOff>476250</xdr:colOff>
      <xdr:row>25</xdr:row>
      <xdr:rowOff>123825</xdr:rowOff>
    </xdr:to>
    <xdr:sp macro="" textlink="">
      <xdr:nvSpPr>
        <xdr:cNvPr id="4" name="Line 8"/>
        <xdr:cNvSpPr>
          <a:spLocks noChangeShapeType="1"/>
        </xdr:cNvSpPr>
      </xdr:nvSpPr>
      <xdr:spPr bwMode="auto">
        <a:xfrm flipV="1">
          <a:off x="2952750" y="2628900"/>
          <a:ext cx="16592550" cy="288607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2</xdr:col>
      <xdr:colOff>628650</xdr:colOff>
      <xdr:row>27</xdr:row>
      <xdr:rowOff>95250</xdr:rowOff>
    </xdr:from>
    <xdr:to>
      <xdr:col>25</xdr:col>
      <xdr:colOff>28575</xdr:colOff>
      <xdr:row>34</xdr:row>
      <xdr:rowOff>180975</xdr:rowOff>
    </xdr:to>
    <xdr:sp macro="" textlink="">
      <xdr:nvSpPr>
        <xdr:cNvPr id="5" name="Line 13"/>
        <xdr:cNvSpPr>
          <a:spLocks noChangeShapeType="1"/>
        </xdr:cNvSpPr>
      </xdr:nvSpPr>
      <xdr:spPr bwMode="auto">
        <a:xfrm>
          <a:off x="2190750" y="5905500"/>
          <a:ext cx="14468475" cy="14668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25</xdr:col>
      <xdr:colOff>9525</xdr:colOff>
      <xdr:row>50</xdr:row>
      <xdr:rowOff>190500</xdr:rowOff>
    </xdr:from>
    <xdr:to>
      <xdr:col>39</xdr:col>
      <xdr:colOff>485775</xdr:colOff>
      <xdr:row>74</xdr:row>
      <xdr:rowOff>28575</xdr:rowOff>
    </xdr:to>
    <xdr:pic>
      <xdr:nvPicPr>
        <xdr:cNvPr id="6" name="Picture 14" descr="SS-2010-08-10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40175" y="10839450"/>
          <a:ext cx="9010650" cy="4867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25</xdr:col>
      <xdr:colOff>9525</xdr:colOff>
      <xdr:row>75</xdr:row>
      <xdr:rowOff>190500</xdr:rowOff>
    </xdr:from>
    <xdr:to>
      <xdr:col>39</xdr:col>
      <xdr:colOff>514350</xdr:colOff>
      <xdr:row>98</xdr:row>
      <xdr:rowOff>66675</xdr:rowOff>
    </xdr:to>
    <xdr:pic>
      <xdr:nvPicPr>
        <xdr:cNvPr id="7" name="Picture 15" descr="SS-2010-08-10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6640175" y="16059150"/>
          <a:ext cx="9039225" cy="4657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657225</xdr:colOff>
      <xdr:row>25</xdr:row>
      <xdr:rowOff>123825</xdr:rowOff>
    </xdr:from>
    <xdr:to>
      <xdr:col>30</xdr:col>
      <xdr:colOff>476250</xdr:colOff>
      <xdr:row>65</xdr:row>
      <xdr:rowOff>152400</xdr:rowOff>
    </xdr:to>
    <xdr:sp macro="" textlink="">
      <xdr:nvSpPr>
        <xdr:cNvPr id="8" name="Line 16"/>
        <xdr:cNvSpPr>
          <a:spLocks noChangeShapeType="1"/>
        </xdr:cNvSpPr>
      </xdr:nvSpPr>
      <xdr:spPr bwMode="auto">
        <a:xfrm>
          <a:off x="4562475" y="5514975"/>
          <a:ext cx="15592425" cy="84772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5</xdr:col>
      <xdr:colOff>676275</xdr:colOff>
      <xdr:row>26</xdr:row>
      <xdr:rowOff>114300</xdr:rowOff>
    </xdr:from>
    <xdr:to>
      <xdr:col>31</xdr:col>
      <xdr:colOff>57150</xdr:colOff>
      <xdr:row>88</xdr:row>
      <xdr:rowOff>47625</xdr:rowOff>
    </xdr:to>
    <xdr:sp macro="" textlink="">
      <xdr:nvSpPr>
        <xdr:cNvPr id="9" name="Line 17"/>
        <xdr:cNvSpPr>
          <a:spLocks noChangeShapeType="1"/>
        </xdr:cNvSpPr>
      </xdr:nvSpPr>
      <xdr:spPr bwMode="auto">
        <a:xfrm>
          <a:off x="4581525" y="5715000"/>
          <a:ext cx="15763875" cy="1307782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26</xdr:col>
      <xdr:colOff>104775</xdr:colOff>
      <xdr:row>31</xdr:row>
      <xdr:rowOff>9525</xdr:rowOff>
    </xdr:from>
    <xdr:to>
      <xdr:col>38</xdr:col>
      <xdr:colOff>333375</xdr:colOff>
      <xdr:row>40</xdr:row>
      <xdr:rowOff>57150</xdr:rowOff>
    </xdr:to>
    <xdr:pic>
      <xdr:nvPicPr>
        <xdr:cNvPr id="10" name="Picture 18" descr="SS-2010-08-10_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7345025" y="6629400"/>
          <a:ext cx="7543800" cy="2047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600075</xdr:colOff>
      <xdr:row>106</xdr:row>
      <xdr:rowOff>57150</xdr:rowOff>
    </xdr:from>
    <xdr:to>
      <xdr:col>30</xdr:col>
      <xdr:colOff>228600</xdr:colOff>
      <xdr:row>115</xdr:row>
      <xdr:rowOff>66675</xdr:rowOff>
    </xdr:to>
    <xdr:pic>
      <xdr:nvPicPr>
        <xdr:cNvPr id="11" name="Picture 9" descr="SS-2010-09-02_08.50.07.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16621125" y="22250400"/>
          <a:ext cx="3286125" cy="1724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600075</xdr:colOff>
      <xdr:row>25</xdr:row>
      <xdr:rowOff>104775</xdr:rowOff>
    </xdr:from>
    <xdr:to>
      <xdr:col>24</xdr:col>
      <xdr:colOff>552450</xdr:colOff>
      <xdr:row>106</xdr:row>
      <xdr:rowOff>133350</xdr:rowOff>
    </xdr:to>
    <xdr:cxnSp macro="">
      <xdr:nvCxnSpPr>
        <xdr:cNvPr id="12" name="Straight Arrow Connector 11"/>
        <xdr:cNvCxnSpPr>
          <a:cxnSpLocks noChangeShapeType="1"/>
        </xdr:cNvCxnSpPr>
      </xdr:nvCxnSpPr>
      <xdr:spPr bwMode="auto">
        <a:xfrm rot="16200000" flipH="1">
          <a:off x="171450" y="5924550"/>
          <a:ext cx="16830675" cy="159734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15</xdr:col>
      <xdr:colOff>95250</xdr:colOff>
      <xdr:row>9</xdr:row>
      <xdr:rowOff>28575</xdr:rowOff>
    </xdr:from>
    <xdr:to>
      <xdr:col>22</xdr:col>
      <xdr:colOff>142875</xdr:colOff>
      <xdr:row>14</xdr:row>
      <xdr:rowOff>171450</xdr:rowOff>
    </xdr:to>
    <xdr:pic>
      <xdr:nvPicPr>
        <xdr:cNvPr id="13" name="Picture 14" descr="SS-2010-09-02_16.45.12.png"/>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0629900" y="1771650"/>
          <a:ext cx="4314825" cy="1162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19</xdr:col>
      <xdr:colOff>466725</xdr:colOff>
      <xdr:row>5</xdr:row>
      <xdr:rowOff>47625</xdr:rowOff>
    </xdr:from>
    <xdr:to>
      <xdr:col>20</xdr:col>
      <xdr:colOff>571500</xdr:colOff>
      <xdr:row>6</xdr:row>
      <xdr:rowOff>19050</xdr:rowOff>
    </xdr:to>
    <xdr:sp macro="" textlink="">
      <xdr:nvSpPr>
        <xdr:cNvPr id="14" name="Rectangle 17"/>
        <xdr:cNvSpPr>
          <a:spLocks noChangeArrowheads="1"/>
        </xdr:cNvSpPr>
      </xdr:nvSpPr>
      <xdr:spPr bwMode="auto">
        <a:xfrm>
          <a:off x="13439775" y="1028700"/>
          <a:ext cx="714375" cy="16192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16</xdr:col>
      <xdr:colOff>504825</xdr:colOff>
      <xdr:row>12</xdr:row>
      <xdr:rowOff>133350</xdr:rowOff>
    </xdr:from>
    <xdr:to>
      <xdr:col>18</xdr:col>
      <xdr:colOff>361950</xdr:colOff>
      <xdr:row>13</xdr:row>
      <xdr:rowOff>133350</xdr:rowOff>
    </xdr:to>
    <xdr:sp macro="" textlink="">
      <xdr:nvSpPr>
        <xdr:cNvPr id="15" name="Rectangle 18"/>
        <xdr:cNvSpPr>
          <a:spLocks noChangeArrowheads="1"/>
        </xdr:cNvSpPr>
      </xdr:nvSpPr>
      <xdr:spPr bwMode="auto">
        <a:xfrm>
          <a:off x="11649075" y="2476500"/>
          <a:ext cx="1076325" cy="209550"/>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3</xdr:col>
      <xdr:colOff>152400</xdr:colOff>
      <xdr:row>10</xdr:row>
      <xdr:rowOff>133350</xdr:rowOff>
    </xdr:from>
    <xdr:to>
      <xdr:col>4</xdr:col>
      <xdr:colOff>142875</xdr:colOff>
      <xdr:row>13</xdr:row>
      <xdr:rowOff>114300</xdr:rowOff>
    </xdr:to>
    <xdr:sp macro="" textlink="">
      <xdr:nvSpPr>
        <xdr:cNvPr id="16" name="Rectangle 19"/>
        <xdr:cNvSpPr>
          <a:spLocks noChangeArrowheads="1"/>
        </xdr:cNvSpPr>
      </xdr:nvSpPr>
      <xdr:spPr bwMode="auto">
        <a:xfrm>
          <a:off x="2495550" y="2066925"/>
          <a:ext cx="771525" cy="60007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xdr:col>
      <xdr:colOff>142875</xdr:colOff>
      <xdr:row>6</xdr:row>
      <xdr:rowOff>19050</xdr:rowOff>
    </xdr:from>
    <xdr:to>
      <xdr:col>20</xdr:col>
      <xdr:colOff>219075</xdr:colOff>
      <xdr:row>12</xdr:row>
      <xdr:rowOff>28575</xdr:rowOff>
    </xdr:to>
    <xdr:cxnSp macro="">
      <xdr:nvCxnSpPr>
        <xdr:cNvPr id="17" name="Straight Arrow Connector 24"/>
        <xdr:cNvCxnSpPr>
          <a:cxnSpLocks noChangeShapeType="1"/>
          <a:stCxn id="16" idx="3"/>
          <a:endCxn id="14" idx="2"/>
        </xdr:cNvCxnSpPr>
      </xdr:nvCxnSpPr>
      <xdr:spPr bwMode="auto">
        <a:xfrm flipV="1">
          <a:off x="3267075" y="1190625"/>
          <a:ext cx="10534650" cy="1181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142875</xdr:colOff>
      <xdr:row>12</xdr:row>
      <xdr:rowOff>28575</xdr:rowOff>
    </xdr:from>
    <xdr:to>
      <xdr:col>16</xdr:col>
      <xdr:colOff>504825</xdr:colOff>
      <xdr:row>13</xdr:row>
      <xdr:rowOff>28575</xdr:rowOff>
    </xdr:to>
    <xdr:cxnSp macro="">
      <xdr:nvCxnSpPr>
        <xdr:cNvPr id="18" name="Straight Arrow Connector 27"/>
        <xdr:cNvCxnSpPr>
          <a:cxnSpLocks noChangeShapeType="1"/>
          <a:stCxn id="16" idx="3"/>
          <a:endCxn id="15" idx="1"/>
        </xdr:cNvCxnSpPr>
      </xdr:nvCxnSpPr>
      <xdr:spPr bwMode="auto">
        <a:xfrm>
          <a:off x="3267075" y="2371725"/>
          <a:ext cx="8382000" cy="209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24</xdr:col>
      <xdr:colOff>0</xdr:colOff>
      <xdr:row>123</xdr:row>
      <xdr:rowOff>0</xdr:rowOff>
    </xdr:from>
    <xdr:to>
      <xdr:col>36</xdr:col>
      <xdr:colOff>0</xdr:colOff>
      <xdr:row>141</xdr:row>
      <xdr:rowOff>127541</xdr:rowOff>
    </xdr:to>
    <xdr:pic>
      <xdr:nvPicPr>
        <xdr:cNvPr id="19" name="Picture 1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6021050" y="25441275"/>
          <a:ext cx="7315200" cy="35755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723900</xdr:colOff>
      <xdr:row>124</xdr:row>
      <xdr:rowOff>114300</xdr:rowOff>
    </xdr:from>
    <xdr:to>
      <xdr:col>30</xdr:col>
      <xdr:colOff>581025</xdr:colOff>
      <xdr:row>129</xdr:row>
      <xdr:rowOff>9525</xdr:rowOff>
    </xdr:to>
    <xdr:cxnSp macro="">
      <xdr:nvCxnSpPr>
        <xdr:cNvPr id="20" name="Straight Arrow Connector 11"/>
        <xdr:cNvCxnSpPr>
          <a:cxnSpLocks noChangeShapeType="1"/>
        </xdr:cNvCxnSpPr>
      </xdr:nvCxnSpPr>
      <xdr:spPr bwMode="auto">
        <a:xfrm>
          <a:off x="4629150" y="25746075"/>
          <a:ext cx="15630525" cy="8667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editAs="oneCell">
    <xdr:from>
      <xdr:col>15</xdr:col>
      <xdr:colOff>485775</xdr:colOff>
      <xdr:row>3</xdr:row>
      <xdr:rowOff>9525</xdr:rowOff>
    </xdr:from>
    <xdr:to>
      <xdr:col>20</xdr:col>
      <xdr:colOff>581025</xdr:colOff>
      <xdr:row>11</xdr:row>
      <xdr:rowOff>161925</xdr:rowOff>
    </xdr:to>
    <xdr:pic>
      <xdr:nvPicPr>
        <xdr:cNvPr id="2" name="Picture 20" descr="SS-2010-09-08_08.10.15.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1020425" y="600075"/>
          <a:ext cx="3143250" cy="1695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228600</xdr:colOff>
      <xdr:row>4</xdr:row>
      <xdr:rowOff>0</xdr:rowOff>
    </xdr:from>
    <xdr:to>
      <xdr:col>39</xdr:col>
      <xdr:colOff>409575</xdr:colOff>
      <xdr:row>24</xdr:row>
      <xdr:rowOff>295275</xdr:rowOff>
    </xdr:to>
    <xdr:pic>
      <xdr:nvPicPr>
        <xdr:cNvPr id="3" name="Picture 7" descr="SS-2010-08-09_1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6249650" y="790575"/>
          <a:ext cx="9324975" cy="43053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3</xdr:col>
      <xdr:colOff>609600</xdr:colOff>
      <xdr:row>13</xdr:row>
      <xdr:rowOff>76200</xdr:rowOff>
    </xdr:from>
    <xdr:to>
      <xdr:col>29</xdr:col>
      <xdr:colOff>476250</xdr:colOff>
      <xdr:row>25</xdr:row>
      <xdr:rowOff>123825</xdr:rowOff>
    </xdr:to>
    <xdr:sp macro="" textlink="">
      <xdr:nvSpPr>
        <xdr:cNvPr id="4" name="Line 8"/>
        <xdr:cNvSpPr>
          <a:spLocks noChangeShapeType="1"/>
        </xdr:cNvSpPr>
      </xdr:nvSpPr>
      <xdr:spPr bwMode="auto">
        <a:xfrm flipV="1">
          <a:off x="2952750" y="2628900"/>
          <a:ext cx="16592550" cy="288607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2</xdr:col>
      <xdr:colOff>628650</xdr:colOff>
      <xdr:row>27</xdr:row>
      <xdr:rowOff>95250</xdr:rowOff>
    </xdr:from>
    <xdr:to>
      <xdr:col>25</xdr:col>
      <xdr:colOff>28575</xdr:colOff>
      <xdr:row>34</xdr:row>
      <xdr:rowOff>180975</xdr:rowOff>
    </xdr:to>
    <xdr:sp macro="" textlink="">
      <xdr:nvSpPr>
        <xdr:cNvPr id="5" name="Line 13"/>
        <xdr:cNvSpPr>
          <a:spLocks noChangeShapeType="1"/>
        </xdr:cNvSpPr>
      </xdr:nvSpPr>
      <xdr:spPr bwMode="auto">
        <a:xfrm>
          <a:off x="2190750" y="5905500"/>
          <a:ext cx="14468475" cy="14668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25</xdr:col>
      <xdr:colOff>9525</xdr:colOff>
      <xdr:row>50</xdr:row>
      <xdr:rowOff>190500</xdr:rowOff>
    </xdr:from>
    <xdr:to>
      <xdr:col>39</xdr:col>
      <xdr:colOff>485775</xdr:colOff>
      <xdr:row>74</xdr:row>
      <xdr:rowOff>28575</xdr:rowOff>
    </xdr:to>
    <xdr:pic>
      <xdr:nvPicPr>
        <xdr:cNvPr id="6" name="Picture 14" descr="SS-2010-08-10_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16640175" y="10839450"/>
          <a:ext cx="9010650" cy="48672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25</xdr:col>
      <xdr:colOff>9525</xdr:colOff>
      <xdr:row>75</xdr:row>
      <xdr:rowOff>190500</xdr:rowOff>
    </xdr:from>
    <xdr:to>
      <xdr:col>39</xdr:col>
      <xdr:colOff>514350</xdr:colOff>
      <xdr:row>98</xdr:row>
      <xdr:rowOff>66675</xdr:rowOff>
    </xdr:to>
    <xdr:pic>
      <xdr:nvPicPr>
        <xdr:cNvPr id="7" name="Picture 15" descr="SS-2010-08-10_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rcRect/>
        <a:stretch>
          <a:fillRect/>
        </a:stretch>
      </xdr:blipFill>
      <xdr:spPr bwMode="auto">
        <a:xfrm>
          <a:off x="16640175" y="16059150"/>
          <a:ext cx="9039225" cy="46577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657225</xdr:colOff>
      <xdr:row>25</xdr:row>
      <xdr:rowOff>123825</xdr:rowOff>
    </xdr:from>
    <xdr:to>
      <xdr:col>30</xdr:col>
      <xdr:colOff>476250</xdr:colOff>
      <xdr:row>65</xdr:row>
      <xdr:rowOff>152400</xdr:rowOff>
    </xdr:to>
    <xdr:sp macro="" textlink="">
      <xdr:nvSpPr>
        <xdr:cNvPr id="8" name="Line 16"/>
        <xdr:cNvSpPr>
          <a:spLocks noChangeShapeType="1"/>
        </xdr:cNvSpPr>
      </xdr:nvSpPr>
      <xdr:spPr bwMode="auto">
        <a:xfrm>
          <a:off x="4562475" y="5514975"/>
          <a:ext cx="15592425" cy="8477250"/>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xdr:from>
      <xdr:col>5</xdr:col>
      <xdr:colOff>676275</xdr:colOff>
      <xdr:row>26</xdr:row>
      <xdr:rowOff>114300</xdr:rowOff>
    </xdr:from>
    <xdr:to>
      <xdr:col>31</xdr:col>
      <xdr:colOff>57150</xdr:colOff>
      <xdr:row>88</xdr:row>
      <xdr:rowOff>47625</xdr:rowOff>
    </xdr:to>
    <xdr:sp macro="" textlink="">
      <xdr:nvSpPr>
        <xdr:cNvPr id="9" name="Line 17"/>
        <xdr:cNvSpPr>
          <a:spLocks noChangeShapeType="1"/>
        </xdr:cNvSpPr>
      </xdr:nvSpPr>
      <xdr:spPr bwMode="auto">
        <a:xfrm>
          <a:off x="4581525" y="5715000"/>
          <a:ext cx="15763875" cy="13077825"/>
        </a:xfrm>
        <a:prstGeom prst="line">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clientData/>
  </xdr:twoCellAnchor>
  <xdr:twoCellAnchor editAs="oneCell">
    <xdr:from>
      <xdr:col>26</xdr:col>
      <xdr:colOff>104775</xdr:colOff>
      <xdr:row>31</xdr:row>
      <xdr:rowOff>9525</xdr:rowOff>
    </xdr:from>
    <xdr:to>
      <xdr:col>38</xdr:col>
      <xdr:colOff>333375</xdr:colOff>
      <xdr:row>40</xdr:row>
      <xdr:rowOff>57150</xdr:rowOff>
    </xdr:to>
    <xdr:pic>
      <xdr:nvPicPr>
        <xdr:cNvPr id="10" name="Picture 18" descr="SS-2010-08-10_1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rcRect/>
        <a:stretch>
          <a:fillRect/>
        </a:stretch>
      </xdr:blipFill>
      <xdr:spPr bwMode="auto">
        <a:xfrm>
          <a:off x="17345025" y="6629400"/>
          <a:ext cx="7543800" cy="2047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24</xdr:col>
      <xdr:colOff>600075</xdr:colOff>
      <xdr:row>106</xdr:row>
      <xdr:rowOff>57150</xdr:rowOff>
    </xdr:from>
    <xdr:to>
      <xdr:col>30</xdr:col>
      <xdr:colOff>228600</xdr:colOff>
      <xdr:row>115</xdr:row>
      <xdr:rowOff>66675</xdr:rowOff>
    </xdr:to>
    <xdr:pic>
      <xdr:nvPicPr>
        <xdr:cNvPr id="11" name="Picture 9" descr="SS-2010-09-02_08.50.07.png"/>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16621125" y="22250400"/>
          <a:ext cx="3286125" cy="17240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600075</xdr:colOff>
      <xdr:row>25</xdr:row>
      <xdr:rowOff>104775</xdr:rowOff>
    </xdr:from>
    <xdr:to>
      <xdr:col>24</xdr:col>
      <xdr:colOff>552450</xdr:colOff>
      <xdr:row>106</xdr:row>
      <xdr:rowOff>133350</xdr:rowOff>
    </xdr:to>
    <xdr:cxnSp macro="">
      <xdr:nvCxnSpPr>
        <xdr:cNvPr id="12" name="Straight Arrow Connector 11"/>
        <xdr:cNvCxnSpPr>
          <a:cxnSpLocks noChangeShapeType="1"/>
        </xdr:cNvCxnSpPr>
      </xdr:nvCxnSpPr>
      <xdr:spPr bwMode="auto">
        <a:xfrm rot="16200000" flipH="1">
          <a:off x="171450" y="5924550"/>
          <a:ext cx="16830675" cy="159734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15</xdr:col>
      <xdr:colOff>95250</xdr:colOff>
      <xdr:row>9</xdr:row>
      <xdr:rowOff>28575</xdr:rowOff>
    </xdr:from>
    <xdr:to>
      <xdr:col>22</xdr:col>
      <xdr:colOff>142875</xdr:colOff>
      <xdr:row>14</xdr:row>
      <xdr:rowOff>171450</xdr:rowOff>
    </xdr:to>
    <xdr:pic>
      <xdr:nvPicPr>
        <xdr:cNvPr id="13" name="Picture 14" descr="SS-2010-09-02_16.45.12.png"/>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10629900" y="1771650"/>
          <a:ext cx="4314825" cy="11620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19</xdr:col>
      <xdr:colOff>466725</xdr:colOff>
      <xdr:row>5</xdr:row>
      <xdr:rowOff>47625</xdr:rowOff>
    </xdr:from>
    <xdr:to>
      <xdr:col>20</xdr:col>
      <xdr:colOff>571500</xdr:colOff>
      <xdr:row>6</xdr:row>
      <xdr:rowOff>19050</xdr:rowOff>
    </xdr:to>
    <xdr:sp macro="" textlink="">
      <xdr:nvSpPr>
        <xdr:cNvPr id="14" name="Rectangle 17"/>
        <xdr:cNvSpPr>
          <a:spLocks noChangeArrowheads="1"/>
        </xdr:cNvSpPr>
      </xdr:nvSpPr>
      <xdr:spPr bwMode="auto">
        <a:xfrm>
          <a:off x="13439775" y="1028700"/>
          <a:ext cx="714375" cy="16192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16</xdr:col>
      <xdr:colOff>504825</xdr:colOff>
      <xdr:row>12</xdr:row>
      <xdr:rowOff>133350</xdr:rowOff>
    </xdr:from>
    <xdr:to>
      <xdr:col>18</xdr:col>
      <xdr:colOff>361950</xdr:colOff>
      <xdr:row>13</xdr:row>
      <xdr:rowOff>133350</xdr:rowOff>
    </xdr:to>
    <xdr:sp macro="" textlink="">
      <xdr:nvSpPr>
        <xdr:cNvPr id="15" name="Rectangle 18"/>
        <xdr:cNvSpPr>
          <a:spLocks noChangeArrowheads="1"/>
        </xdr:cNvSpPr>
      </xdr:nvSpPr>
      <xdr:spPr bwMode="auto">
        <a:xfrm>
          <a:off x="11649075" y="2476500"/>
          <a:ext cx="1076325" cy="209550"/>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3</xdr:col>
      <xdr:colOff>152400</xdr:colOff>
      <xdr:row>10</xdr:row>
      <xdr:rowOff>133350</xdr:rowOff>
    </xdr:from>
    <xdr:to>
      <xdr:col>4</xdr:col>
      <xdr:colOff>142875</xdr:colOff>
      <xdr:row>13</xdr:row>
      <xdr:rowOff>114300</xdr:rowOff>
    </xdr:to>
    <xdr:sp macro="" textlink="">
      <xdr:nvSpPr>
        <xdr:cNvPr id="16" name="Rectangle 19"/>
        <xdr:cNvSpPr>
          <a:spLocks noChangeArrowheads="1"/>
        </xdr:cNvSpPr>
      </xdr:nvSpPr>
      <xdr:spPr bwMode="auto">
        <a:xfrm>
          <a:off x="2495550" y="2066925"/>
          <a:ext cx="771525" cy="600075"/>
        </a:xfrm>
        <a:prstGeom prst="rect">
          <a:avLst/>
        </a:prstGeom>
        <a:noFill/>
        <a:ln w="9525" algn="ctr">
          <a:solidFill>
            <a:srgbClr val="000000"/>
          </a:solidFill>
          <a:round/>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4</xdr:col>
      <xdr:colOff>142875</xdr:colOff>
      <xdr:row>6</xdr:row>
      <xdr:rowOff>19050</xdr:rowOff>
    </xdr:from>
    <xdr:to>
      <xdr:col>20</xdr:col>
      <xdr:colOff>219075</xdr:colOff>
      <xdr:row>12</xdr:row>
      <xdr:rowOff>28575</xdr:rowOff>
    </xdr:to>
    <xdr:cxnSp macro="">
      <xdr:nvCxnSpPr>
        <xdr:cNvPr id="17" name="Straight Arrow Connector 24"/>
        <xdr:cNvCxnSpPr>
          <a:cxnSpLocks noChangeShapeType="1"/>
          <a:stCxn id="16" idx="3"/>
          <a:endCxn id="14" idx="2"/>
        </xdr:cNvCxnSpPr>
      </xdr:nvCxnSpPr>
      <xdr:spPr bwMode="auto">
        <a:xfrm flipV="1">
          <a:off x="3267075" y="1190625"/>
          <a:ext cx="10534650" cy="1181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xdr:from>
      <xdr:col>4</xdr:col>
      <xdr:colOff>142875</xdr:colOff>
      <xdr:row>12</xdr:row>
      <xdr:rowOff>28575</xdr:rowOff>
    </xdr:from>
    <xdr:to>
      <xdr:col>16</xdr:col>
      <xdr:colOff>504825</xdr:colOff>
      <xdr:row>13</xdr:row>
      <xdr:rowOff>28575</xdr:rowOff>
    </xdr:to>
    <xdr:cxnSp macro="">
      <xdr:nvCxnSpPr>
        <xdr:cNvPr id="18" name="Straight Arrow Connector 27"/>
        <xdr:cNvCxnSpPr>
          <a:cxnSpLocks noChangeShapeType="1"/>
          <a:stCxn id="16" idx="3"/>
          <a:endCxn id="15" idx="1"/>
        </xdr:cNvCxnSpPr>
      </xdr:nvCxnSpPr>
      <xdr:spPr bwMode="auto">
        <a:xfrm>
          <a:off x="3267075" y="2371725"/>
          <a:ext cx="8382000" cy="209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twoCellAnchor editAs="oneCell">
    <xdr:from>
      <xdr:col>24</xdr:col>
      <xdr:colOff>0</xdr:colOff>
      <xdr:row>123</xdr:row>
      <xdr:rowOff>0</xdr:rowOff>
    </xdr:from>
    <xdr:to>
      <xdr:col>36</xdr:col>
      <xdr:colOff>0</xdr:colOff>
      <xdr:row>141</xdr:row>
      <xdr:rowOff>127541</xdr:rowOff>
    </xdr:to>
    <xdr:pic>
      <xdr:nvPicPr>
        <xdr:cNvPr id="19" name="Picture 1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16021050" y="25441275"/>
          <a:ext cx="7315200" cy="3575591"/>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723900</xdr:colOff>
      <xdr:row>124</xdr:row>
      <xdr:rowOff>114300</xdr:rowOff>
    </xdr:from>
    <xdr:to>
      <xdr:col>30</xdr:col>
      <xdr:colOff>581025</xdr:colOff>
      <xdr:row>129</xdr:row>
      <xdr:rowOff>9525</xdr:rowOff>
    </xdr:to>
    <xdr:cxnSp macro="">
      <xdr:nvCxnSpPr>
        <xdr:cNvPr id="20" name="Straight Arrow Connector 11"/>
        <xdr:cNvCxnSpPr>
          <a:cxnSpLocks noChangeShapeType="1"/>
        </xdr:cNvCxnSpPr>
      </xdr:nvCxnSpPr>
      <xdr:spPr bwMode="auto">
        <a:xfrm>
          <a:off x="4629150" y="25746075"/>
          <a:ext cx="15630525" cy="86677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xmlns="">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Com/COM-Wastewater-7P_V4.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s>
    <definedNames>
      <definedName name="ResApplic" refersTo="='APPLIC'!$B$8:$F$119"/>
    </definedNames>
    <sheetDataSet>
      <sheetData sheetId="0">
        <row r="116">
          <cell r="B116" t="str">
            <v>Contents</v>
          </cell>
        </row>
        <row r="117">
          <cell r="B117" t="str">
            <v>Overview of model structure</v>
          </cell>
        </row>
        <row r="118">
          <cell r="B118" t="str">
            <v xml:space="preserve">Update Log:  Log for updates to Draft 6th Plan Assessment </v>
          </cell>
        </row>
        <row r="119">
          <cell r="B119" t="str">
            <v>Master List of measure bundles</v>
          </cell>
        </row>
      </sheetData>
      <sheetData sheetId="1"/>
      <sheetData sheetId="2">
        <row r="8">
          <cell r="B8" t="str">
            <v>Base Measure Name</v>
          </cell>
          <cell r="C8" t="str">
            <v>VCohort</v>
          </cell>
          <cell r="D8" t="str">
            <v>Measure Index Name</v>
          </cell>
          <cell r="E8" t="str">
            <v>M BUNDLE ID</v>
          </cell>
          <cell r="F8" t="str">
            <v>Measure Bundle Description</v>
          </cell>
        </row>
        <row r="9">
          <cell r="B9" t="str">
            <v>Lighting</v>
          </cell>
          <cell r="C9" t="str">
            <v>New</v>
          </cell>
          <cell r="D9" t="str">
            <v>Lighting - New</v>
          </cell>
        </row>
        <row r="10">
          <cell r="B10" t="str">
            <v>Lighting</v>
          </cell>
          <cell r="C10" t="str">
            <v>NR</v>
          </cell>
          <cell r="D10" t="str">
            <v>Lighting - NR</v>
          </cell>
        </row>
        <row r="11">
          <cell r="B11" t="str">
            <v>Lighting</v>
          </cell>
          <cell r="C11" t="str">
            <v>PPA</v>
          </cell>
          <cell r="D11" t="str">
            <v>Lighting - PPA</v>
          </cell>
        </row>
        <row r="12">
          <cell r="B12" t="str">
            <v>Dishwasher</v>
          </cell>
          <cell r="C12" t="str">
            <v>New</v>
          </cell>
          <cell r="D12" t="str">
            <v>Dishwasher - New</v>
          </cell>
        </row>
        <row r="13">
          <cell r="B13" t="str">
            <v>Dishwasher</v>
          </cell>
          <cell r="C13" t="str">
            <v>NR</v>
          </cell>
          <cell r="D13" t="str">
            <v>Dishwasher - NR</v>
          </cell>
        </row>
        <row r="14">
          <cell r="B14" t="str">
            <v>Clothes Washer</v>
          </cell>
          <cell r="C14" t="str">
            <v>New</v>
          </cell>
          <cell r="D14" t="str">
            <v>Clothes Washer - New</v>
          </cell>
        </row>
        <row r="15">
          <cell r="B15" t="str">
            <v>Clothes Washer</v>
          </cell>
          <cell r="C15" t="str">
            <v>NR</v>
          </cell>
          <cell r="D15" t="str">
            <v>Clothes Washer - NR</v>
          </cell>
        </row>
        <row r="16">
          <cell r="B16" t="str">
            <v>WasteWater Heat Recovery</v>
          </cell>
          <cell r="C16" t="str">
            <v>New</v>
          </cell>
          <cell r="D16" t="str">
            <v>WasteWater Heat Recovery - New</v>
          </cell>
        </row>
        <row r="17">
          <cell r="B17" t="str">
            <v>Showerheads</v>
          </cell>
          <cell r="C17" t="str">
            <v>New</v>
          </cell>
          <cell r="D17" t="str">
            <v>Showerheads - New</v>
          </cell>
        </row>
        <row r="18">
          <cell r="B18" t="str">
            <v>Showerheads</v>
          </cell>
          <cell r="C18" t="str">
            <v>Retro</v>
          </cell>
          <cell r="D18" t="str">
            <v>Showerheads - Retro</v>
          </cell>
        </row>
        <row r="19">
          <cell r="B19" t="str">
            <v>HPWH</v>
          </cell>
          <cell r="C19" t="str">
            <v>New</v>
          </cell>
          <cell r="D19" t="str">
            <v>HPWH - New</v>
          </cell>
        </row>
        <row r="20">
          <cell r="B20" t="str">
            <v>HPWH</v>
          </cell>
          <cell r="C20" t="str">
            <v>NR</v>
          </cell>
          <cell r="D20" t="str">
            <v>HPWH - NR</v>
          </cell>
        </row>
        <row r="21">
          <cell r="B21" t="str">
            <v>EV Supply Equip</v>
          </cell>
          <cell r="C21" t="str">
            <v>NR</v>
          </cell>
          <cell r="D21" t="str">
            <v>EV Supply Equip - NR</v>
          </cell>
        </row>
        <row r="22">
          <cell r="B22" t="str">
            <v>Clothes Dryer</v>
          </cell>
          <cell r="C22" t="str">
            <v>New</v>
          </cell>
          <cell r="D22" t="str">
            <v>Clothes Dryer - New</v>
          </cell>
        </row>
        <row r="23">
          <cell r="B23" t="str">
            <v>Clothes Dryer</v>
          </cell>
          <cell r="C23" t="str">
            <v>NR</v>
          </cell>
          <cell r="D23" t="str">
            <v>Clothes Dryer - NR</v>
          </cell>
        </row>
        <row r="24">
          <cell r="B24" t="str">
            <v>Refrigerator</v>
          </cell>
          <cell r="C24" t="str">
            <v>New</v>
          </cell>
          <cell r="D24" t="str">
            <v>Refrigerator - New</v>
          </cell>
        </row>
        <row r="25">
          <cell r="B25" t="str">
            <v>Refrigerator</v>
          </cell>
          <cell r="C25" t="str">
            <v>NR</v>
          </cell>
          <cell r="D25" t="str">
            <v>Refrigerator - NR</v>
          </cell>
        </row>
        <row r="26">
          <cell r="B26" t="str">
            <v>Freezer</v>
          </cell>
          <cell r="C26" t="str">
            <v>New</v>
          </cell>
          <cell r="D26" t="str">
            <v>Freezer - New</v>
          </cell>
        </row>
        <row r="27">
          <cell r="B27" t="str">
            <v>Freezer</v>
          </cell>
          <cell r="C27" t="str">
            <v>NR</v>
          </cell>
          <cell r="D27" t="str">
            <v>Freezer - NR</v>
          </cell>
        </row>
        <row r="28">
          <cell r="B28" t="str">
            <v>Solar Water Heater</v>
          </cell>
          <cell r="C28" t="str">
            <v>New</v>
          </cell>
          <cell r="D28" t="str">
            <v>Solar Water Heater - New</v>
          </cell>
        </row>
        <row r="29">
          <cell r="B29" t="str">
            <v>Solar Water Heater</v>
          </cell>
          <cell r="C29" t="str">
            <v>NR</v>
          </cell>
          <cell r="D29" t="str">
            <v>Solar Water Heater - NR</v>
          </cell>
        </row>
        <row r="30">
          <cell r="B30" t="str">
            <v>Solar Water Heater</v>
          </cell>
          <cell r="C30" t="str">
            <v>Retro</v>
          </cell>
          <cell r="D30" t="str">
            <v>Solar Water Heater - Retro</v>
          </cell>
        </row>
        <row r="33">
          <cell r="B33" t="str">
            <v>Electric Oven</v>
          </cell>
          <cell r="C33" t="str">
            <v>New</v>
          </cell>
          <cell r="D33" t="str">
            <v>Electric Oven - New</v>
          </cell>
        </row>
        <row r="34">
          <cell r="B34" t="str">
            <v>Electric Oven</v>
          </cell>
          <cell r="C34" t="str">
            <v>NR</v>
          </cell>
          <cell r="D34" t="str">
            <v>Electric Oven - NR</v>
          </cell>
        </row>
        <row r="35">
          <cell r="B35" t="str">
            <v>Microwave</v>
          </cell>
          <cell r="C35" t="str">
            <v>New</v>
          </cell>
          <cell r="D35" t="str">
            <v>Microwave - New</v>
          </cell>
        </row>
        <row r="36">
          <cell r="B36" t="str">
            <v>Microwave</v>
          </cell>
          <cell r="C36" t="str">
            <v>NR</v>
          </cell>
          <cell r="D36" t="str">
            <v>Microwave - NR</v>
          </cell>
        </row>
        <row r="37">
          <cell r="B37" t="str">
            <v>Monitor</v>
          </cell>
          <cell r="C37" t="str">
            <v>New</v>
          </cell>
          <cell r="D37" t="str">
            <v>Monitor - New</v>
          </cell>
        </row>
        <row r="38">
          <cell r="B38" t="str">
            <v>Monitor</v>
          </cell>
          <cell r="C38" t="str">
            <v>NR</v>
          </cell>
          <cell r="D38" t="str">
            <v>Monitor - NR</v>
          </cell>
        </row>
        <row r="39">
          <cell r="B39" t="str">
            <v>Desktop</v>
          </cell>
          <cell r="C39" t="str">
            <v>New</v>
          </cell>
          <cell r="D39" t="str">
            <v>Desktop - New</v>
          </cell>
        </row>
        <row r="40">
          <cell r="B40" t="str">
            <v>Desktop</v>
          </cell>
          <cell r="C40" t="str">
            <v>NR</v>
          </cell>
          <cell r="D40" t="str">
            <v>Desktop - NR</v>
          </cell>
        </row>
        <row r="41">
          <cell r="B41" t="str">
            <v>Laptop</v>
          </cell>
          <cell r="C41" t="str">
            <v>New</v>
          </cell>
          <cell r="D41" t="str">
            <v>Laptop - New</v>
          </cell>
        </row>
        <row r="42">
          <cell r="B42" t="str">
            <v>Laptop</v>
          </cell>
          <cell r="C42" t="str">
            <v>NR</v>
          </cell>
          <cell r="D42" t="str">
            <v>Laptop - NR</v>
          </cell>
        </row>
        <row r="43">
          <cell r="B43" t="str">
            <v>Computer</v>
          </cell>
          <cell r="C43" t="str">
            <v>New</v>
          </cell>
          <cell r="D43" t="str">
            <v>Computer - New</v>
          </cell>
        </row>
        <row r="44">
          <cell r="B44" t="str">
            <v>Computer</v>
          </cell>
          <cell r="C44" t="str">
            <v>NR</v>
          </cell>
          <cell r="D44" t="str">
            <v>Computer - NR</v>
          </cell>
        </row>
        <row r="45">
          <cell r="B45" t="str">
            <v>ASHP</v>
          </cell>
          <cell r="C45" t="str">
            <v>New</v>
          </cell>
          <cell r="D45" t="str">
            <v>ASHP - New</v>
          </cell>
        </row>
        <row r="46">
          <cell r="B46" t="str">
            <v>ASHP</v>
          </cell>
          <cell r="C46" t="str">
            <v>NR</v>
          </cell>
          <cell r="D46" t="str">
            <v>ASHP - NR</v>
          </cell>
        </row>
        <row r="47">
          <cell r="B47" t="str">
            <v>HP</v>
          </cell>
          <cell r="C47" t="str">
            <v>Retro</v>
          </cell>
          <cell r="D47" t="str">
            <v>HP - Retro</v>
          </cell>
        </row>
        <row r="48">
          <cell r="B48" t="str">
            <v>DHP</v>
          </cell>
          <cell r="C48" t="str">
            <v>New</v>
          </cell>
          <cell r="D48" t="str">
            <v>DHP - New</v>
          </cell>
        </row>
        <row r="49">
          <cell r="B49" t="str">
            <v>DHP</v>
          </cell>
          <cell r="C49" t="str">
            <v>NR</v>
          </cell>
          <cell r="D49" t="str">
            <v>DHP - NR</v>
          </cell>
        </row>
        <row r="50">
          <cell r="B50" t="str">
            <v>DHP</v>
          </cell>
          <cell r="C50" t="str">
            <v>Retro</v>
          </cell>
          <cell r="D50" t="str">
            <v>DHP - Retro</v>
          </cell>
        </row>
        <row r="51">
          <cell r="B51" t="str">
            <v>Duct Sealing</v>
          </cell>
          <cell r="C51" t="str">
            <v>New</v>
          </cell>
          <cell r="D51" t="str">
            <v>Duct Sealing - New</v>
          </cell>
        </row>
        <row r="52">
          <cell r="B52" t="str">
            <v>Duct Sealing</v>
          </cell>
          <cell r="C52" t="str">
            <v>Retro</v>
          </cell>
          <cell r="D52" t="str">
            <v>Duct Sealing - Retro</v>
          </cell>
        </row>
        <row r="53">
          <cell r="B53" t="str">
            <v>WIFI enabled tstats</v>
          </cell>
          <cell r="C53" t="str">
            <v>New</v>
          </cell>
          <cell r="D53" t="str">
            <v>WIFI enabled tstats - New</v>
          </cell>
        </row>
        <row r="54">
          <cell r="B54" t="str">
            <v>WIFI enabled tstats</v>
          </cell>
          <cell r="C54" t="str">
            <v>Retro</v>
          </cell>
          <cell r="D54" t="str">
            <v>WIFI enabled tstats - Retro</v>
          </cell>
        </row>
        <row r="55">
          <cell r="B55" t="str">
            <v>Combo DHP/HPWH units</v>
          </cell>
          <cell r="C55" t="str">
            <v>New</v>
          </cell>
          <cell r="D55" t="str">
            <v>Combo DHP/HPWH units - New</v>
          </cell>
        </row>
        <row r="56">
          <cell r="B56" t="str">
            <v>Combo DHP/HPWH units</v>
          </cell>
          <cell r="C56" t="str">
            <v>NR</v>
          </cell>
          <cell r="D56" t="str">
            <v>Combo DHP/HPWH units - NR</v>
          </cell>
        </row>
        <row r="57">
          <cell r="B57" t="str">
            <v>Combo DHP/HPWH units</v>
          </cell>
          <cell r="C57" t="str">
            <v>Retro</v>
          </cell>
          <cell r="D57" t="str">
            <v>Combo DHP/HPWH units - Retro</v>
          </cell>
        </row>
        <row r="58">
          <cell r="B58" t="str">
            <v>Aerator</v>
          </cell>
          <cell r="C58" t="str">
            <v>New</v>
          </cell>
          <cell r="D58" t="str">
            <v>Aerator - New</v>
          </cell>
        </row>
        <row r="59">
          <cell r="B59" t="str">
            <v>Aerator</v>
          </cell>
          <cell r="C59" t="str">
            <v>Retro</v>
          </cell>
          <cell r="D59" t="str">
            <v>Aerator - Retro</v>
          </cell>
        </row>
        <row r="60">
          <cell r="B60" t="str">
            <v>Behavior</v>
          </cell>
          <cell r="C60" t="str">
            <v>Retro</v>
          </cell>
          <cell r="D60" t="str">
            <v>Behavior - Retro</v>
          </cell>
        </row>
        <row r="61">
          <cell r="B61" t="str">
            <v>Behavior</v>
          </cell>
          <cell r="C61" t="str">
            <v>New</v>
          </cell>
          <cell r="D61" t="str">
            <v>Behavior - New</v>
          </cell>
        </row>
        <row r="63">
          <cell r="B63" t="str">
            <v>Heat Recovery Ventilation</v>
          </cell>
          <cell r="C63" t="str">
            <v>New</v>
          </cell>
          <cell r="D63" t="str">
            <v>Heat Recovery Ventilation - New</v>
          </cell>
        </row>
        <row r="64">
          <cell r="B64" t="str">
            <v>GSHP</v>
          </cell>
          <cell r="C64" t="str">
            <v>New</v>
          </cell>
          <cell r="D64" t="str">
            <v>GSHP - New</v>
          </cell>
        </row>
        <row r="65">
          <cell r="B65" t="str">
            <v>GSHP</v>
          </cell>
          <cell r="C65" t="str">
            <v>NR</v>
          </cell>
          <cell r="D65" t="str">
            <v>GSHP - NR</v>
          </cell>
        </row>
        <row r="66">
          <cell r="C66" t="str">
            <v>Retro</v>
          </cell>
        </row>
        <row r="67">
          <cell r="B67" t="str">
            <v>ECM for HVAC ventilation</v>
          </cell>
          <cell r="C67" t="str">
            <v>New</v>
          </cell>
          <cell r="D67" t="str">
            <v>ECM for HVAC ventilation - New</v>
          </cell>
        </row>
        <row r="68">
          <cell r="B68" t="str">
            <v>ECM for HVAC ventilation</v>
          </cell>
          <cell r="C68" t="str">
            <v>NR</v>
          </cell>
          <cell r="D68" t="str">
            <v>ECM for HVAC ventilation - NR</v>
          </cell>
        </row>
        <row r="69">
          <cell r="B69" t="str">
            <v>Whole house/attic fan</v>
          </cell>
          <cell r="C69" t="str">
            <v>New</v>
          </cell>
          <cell r="D69" t="str">
            <v>Whole house/attic fan - New</v>
          </cell>
        </row>
        <row r="70">
          <cell r="B70" t="str">
            <v>Whole house/attic fan</v>
          </cell>
          <cell r="C70" t="str">
            <v>Retro</v>
          </cell>
          <cell r="D70" t="str">
            <v>Whole house/attic fan - Retro</v>
          </cell>
        </row>
        <row r="71">
          <cell r="B71" t="str">
            <v>WH Pipe insulation</v>
          </cell>
          <cell r="C71" t="str">
            <v>Retro</v>
          </cell>
          <cell r="D71" t="str">
            <v>WH Pipe insulation - Retro</v>
          </cell>
        </row>
        <row r="72">
          <cell r="B72" t="str">
            <v>DHP Ducted</v>
          </cell>
          <cell r="C72" t="str">
            <v>NR</v>
          </cell>
          <cell r="D72" t="str">
            <v>DHP Ducted - NR</v>
          </cell>
        </row>
        <row r="73">
          <cell r="B73" t="str">
            <v>Advanced Power Strips</v>
          </cell>
          <cell r="C73" t="str">
            <v>New</v>
          </cell>
          <cell r="D73" t="str">
            <v>Advanced Power Strips - New</v>
          </cell>
        </row>
        <row r="74">
          <cell r="B74" t="str">
            <v>Advanced Power Strips</v>
          </cell>
          <cell r="C74" t="str">
            <v>Retro</v>
          </cell>
          <cell r="D74" t="str">
            <v>Advanced Power Strips - Retro</v>
          </cell>
        </row>
        <row r="75">
          <cell r="B75" t="str">
            <v>Controls Commissioning and Sizing</v>
          </cell>
          <cell r="C75" t="str">
            <v>New</v>
          </cell>
          <cell r="D75" t="str">
            <v>Controls Commissioning and Sizing - New</v>
          </cell>
        </row>
        <row r="76">
          <cell r="B76" t="str">
            <v>Controls Commissioning and Sizing</v>
          </cell>
          <cell r="C76" t="str">
            <v>NR</v>
          </cell>
          <cell r="D76" t="str">
            <v>Controls Commissioning and Sizing - NR</v>
          </cell>
        </row>
        <row r="77">
          <cell r="B77" t="str">
            <v>ResWx</v>
          </cell>
          <cell r="C77" t="str">
            <v>Retro</v>
          </cell>
          <cell r="D77" t="str">
            <v>ResWx - Retro</v>
          </cell>
        </row>
        <row r="78">
          <cell r="B78" t="str">
            <v>ATTIC R0 - R19</v>
          </cell>
          <cell r="C78" t="str">
            <v>Retro</v>
          </cell>
          <cell r="D78" t="str">
            <v>ATTIC R0 - R19 - Retro</v>
          </cell>
        </row>
        <row r="79">
          <cell r="B79" t="str">
            <v>ATTIC R0 - R22</v>
          </cell>
          <cell r="C79" t="str">
            <v>Retro</v>
          </cell>
          <cell r="D79" t="str">
            <v>ATTIC R0 - R22 - Retro</v>
          </cell>
        </row>
        <row r="80">
          <cell r="B80" t="str">
            <v>ATTIC R0 - R30</v>
          </cell>
          <cell r="C80" t="str">
            <v>Retro</v>
          </cell>
          <cell r="D80" t="str">
            <v>ATTIC R0 - R30 - Retro</v>
          </cell>
        </row>
        <row r="81">
          <cell r="B81" t="str">
            <v>ATTIC R0 - R38</v>
          </cell>
          <cell r="C81" t="str">
            <v>Retro</v>
          </cell>
          <cell r="D81" t="str">
            <v>ATTIC R0 - R38 - Retro</v>
          </cell>
        </row>
        <row r="82">
          <cell r="B82" t="str">
            <v>ATTIC R0 - R49</v>
          </cell>
          <cell r="C82" t="str">
            <v>Retro</v>
          </cell>
          <cell r="D82" t="str">
            <v>ATTIC R0 - R49 - Retro</v>
          </cell>
        </row>
        <row r="83">
          <cell r="B83" t="str">
            <v>ATTIC R11 - R30</v>
          </cell>
          <cell r="C83" t="str">
            <v>Retro</v>
          </cell>
          <cell r="D83" t="str">
            <v>ATTIC R11 - R30 - Retro</v>
          </cell>
        </row>
        <row r="84">
          <cell r="B84" t="str">
            <v>ATTIC R11 - R38</v>
          </cell>
          <cell r="C84" t="str">
            <v>Retro</v>
          </cell>
          <cell r="D84" t="str">
            <v>ATTIC R11 - R38 - Retro</v>
          </cell>
        </row>
        <row r="85">
          <cell r="B85" t="str">
            <v>ATTIC R11 - R49</v>
          </cell>
          <cell r="C85" t="str">
            <v>Retro</v>
          </cell>
          <cell r="D85" t="str">
            <v>ATTIC R11 - R49 - Retro</v>
          </cell>
        </row>
        <row r="86">
          <cell r="B86" t="str">
            <v>ATTIC R19 - R30</v>
          </cell>
          <cell r="C86" t="str">
            <v>Retro</v>
          </cell>
          <cell r="D86" t="str">
            <v>ATTIC R19 - R30 - Retro</v>
          </cell>
        </row>
        <row r="87">
          <cell r="B87" t="str">
            <v>ATTIC R19 - R38</v>
          </cell>
          <cell r="C87" t="str">
            <v>Retro</v>
          </cell>
          <cell r="D87" t="str">
            <v>ATTIC R19 - R38 - Retro</v>
          </cell>
        </row>
        <row r="88">
          <cell r="B88" t="str">
            <v>ATTIC R19 - R49</v>
          </cell>
          <cell r="C88" t="str">
            <v>Retro</v>
          </cell>
          <cell r="D88" t="str">
            <v>ATTIC R19 - R49 - Retro</v>
          </cell>
        </row>
        <row r="89">
          <cell r="B89" t="str">
            <v>WALL R0 - R11</v>
          </cell>
          <cell r="C89" t="str">
            <v>Retro</v>
          </cell>
          <cell r="D89" t="str">
            <v>WALL R0 - R11 - Retro</v>
          </cell>
        </row>
        <row r="90">
          <cell r="B90" t="str">
            <v>FLOOR R0 - R19</v>
          </cell>
          <cell r="C90" t="str">
            <v>Retro</v>
          </cell>
          <cell r="D90" t="str">
            <v>FLOOR R0 - R19 - Retro</v>
          </cell>
        </row>
        <row r="91">
          <cell r="B91" t="str">
            <v>FLOOR R0 - R22</v>
          </cell>
          <cell r="C91" t="str">
            <v>Retro</v>
          </cell>
          <cell r="D91" t="str">
            <v>FLOOR R0 - R22 - Retro</v>
          </cell>
        </row>
        <row r="92">
          <cell r="B92" t="str">
            <v>FLOOR R0 - R25</v>
          </cell>
          <cell r="C92" t="str">
            <v>Retro</v>
          </cell>
          <cell r="D92" t="str">
            <v>FLOOR R0 - R25 - Retro</v>
          </cell>
        </row>
        <row r="93">
          <cell r="B93" t="str">
            <v>FLOOR R0 - R30</v>
          </cell>
          <cell r="C93" t="str">
            <v>Retro</v>
          </cell>
          <cell r="D93" t="str">
            <v>FLOOR R0 - R30 - Retro</v>
          </cell>
        </row>
        <row r="94">
          <cell r="B94" t="str">
            <v>FLOOR R11 - R22</v>
          </cell>
          <cell r="C94" t="str">
            <v>Retro</v>
          </cell>
          <cell r="D94" t="str">
            <v>FLOOR R11 - R22 - Retro</v>
          </cell>
        </row>
        <row r="95">
          <cell r="B95" t="str">
            <v>WINDOW CL30 Prime Window Replacement of Single Pane Base</v>
          </cell>
          <cell r="C95" t="str">
            <v>Retro</v>
          </cell>
          <cell r="D95" t="str">
            <v>WINDOW CL30 Prime Window Replacement of Single Pane Base - Retro</v>
          </cell>
        </row>
        <row r="96">
          <cell r="B96" t="str">
            <v>WINDOW CL30 Prime Window Replacement of Double Pane Base</v>
          </cell>
          <cell r="C96" t="str">
            <v>Retro</v>
          </cell>
          <cell r="D96" t="str">
            <v>WINDOW CL30 Prime Window Replacement of Double Pane Base - Retro</v>
          </cell>
        </row>
        <row r="97">
          <cell r="B97" t="str">
            <v>WINDOW CL22 Prime Window Replacement of Single Pane Base</v>
          </cell>
          <cell r="C97" t="str">
            <v>Retro</v>
          </cell>
          <cell r="D97" t="str">
            <v>WINDOW CL22 Prime Window Replacement of Single Pane Base - Retro</v>
          </cell>
        </row>
        <row r="98">
          <cell r="B98" t="str">
            <v>WINDOW CL22 Prime Window Replacement of Double Pane Base</v>
          </cell>
          <cell r="C98" t="str">
            <v>Retro</v>
          </cell>
          <cell r="D98" t="str">
            <v>WINDOW CL22 Prime Window Replacement of Double Pane Base - Retro</v>
          </cell>
        </row>
        <row r="99">
          <cell r="B99" t="str">
            <v>CFM50 Infiltration Reduction</v>
          </cell>
          <cell r="C99" t="str">
            <v>Retro</v>
          </cell>
          <cell r="D99" t="str">
            <v>CFM50 Infiltration Reduction - Retro</v>
          </cell>
        </row>
      </sheetData>
      <sheetData sheetId="3">
        <row r="4">
          <cell r="H4">
            <v>2035</v>
          </cell>
        </row>
        <row r="8">
          <cell r="B8">
            <v>1</v>
          </cell>
          <cell r="C8">
            <v>2</v>
          </cell>
          <cell r="D8">
            <v>3</v>
          </cell>
          <cell r="E8">
            <v>4</v>
          </cell>
          <cell r="F8">
            <v>5</v>
          </cell>
        </row>
        <row r="9">
          <cell r="B9" t="str">
            <v>Measure Index Name</v>
          </cell>
          <cell r="C9" t="str">
            <v>File Link</v>
          </cell>
          <cell r="D9" t="str">
            <v>Supply Curve Worksheet</v>
          </cell>
          <cell r="E9" t="str">
            <v>Lost Opp</v>
          </cell>
          <cell r="F9" t="str">
            <v>Descriptive Name</v>
          </cell>
        </row>
        <row r="10">
          <cell r="B10" t="str">
            <v>Lighting - New</v>
          </cell>
          <cell r="C10" t="str">
            <v>Res-Lighting-7P_v2.xlsx</v>
          </cell>
        </row>
        <row r="11">
          <cell r="B11" t="str">
            <v>Lighting - NR</v>
          </cell>
          <cell r="C11" t="str">
            <v>Res-Lighting-7P_v2.xlsx</v>
          </cell>
        </row>
        <row r="12">
          <cell r="B12" t="str">
            <v>Lighting - PPA</v>
          </cell>
          <cell r="C12" t="str">
            <v>Res-Lighting_PPA-7P_v3.xlsx</v>
          </cell>
        </row>
        <row r="13">
          <cell r="B13" t="str">
            <v>Dishwasher - New</v>
          </cell>
          <cell r="C13" t="str">
            <v>Res-Dishwasher-7P_v3.xlsx</v>
          </cell>
        </row>
        <row r="14">
          <cell r="B14" t="str">
            <v>Dishwasher - NR</v>
          </cell>
          <cell r="C14" t="str">
            <v>Res-Dishwasher-7P_v3.xlsx</v>
          </cell>
        </row>
        <row r="15">
          <cell r="B15" t="str">
            <v>Clothes Washer - New</v>
          </cell>
          <cell r="C15" t="str">
            <v>Res-ClothesWasher-7P_v2.xlsx</v>
          </cell>
        </row>
        <row r="16">
          <cell r="B16" t="str">
            <v>Clothes Washer - NR</v>
          </cell>
          <cell r="C16" t="str">
            <v>Res-ClothesWasher-7P_v2.xlsx</v>
          </cell>
        </row>
        <row r="17">
          <cell r="B17" t="str">
            <v>WasteWater Heat Recovery - New</v>
          </cell>
          <cell r="C17" t="str">
            <v>Res-GFX-7P_v2p.xlsx</v>
          </cell>
        </row>
        <row r="18">
          <cell r="B18" t="str">
            <v>Showerheads - New</v>
          </cell>
          <cell r="C18" t="str">
            <v>Res-Showerhead-7P_v4.xlsx</v>
          </cell>
        </row>
        <row r="19">
          <cell r="B19" t="str">
            <v>Showerheads - Retro</v>
          </cell>
          <cell r="C19" t="str">
            <v>Res-Showerhead-7P_v4.xlsx</v>
          </cell>
        </row>
        <row r="20">
          <cell r="B20" t="str">
            <v>HPWH - New</v>
          </cell>
          <cell r="C20" t="str">
            <v>Res-HPWH-7P_v3.xlsx</v>
          </cell>
        </row>
        <row r="21">
          <cell r="B21" t="str">
            <v>HPWH - NR</v>
          </cell>
          <cell r="C21" t="str">
            <v>Res-HPWH-7P_v3.xlsx</v>
          </cell>
        </row>
        <row r="22">
          <cell r="B22" t="str">
            <v>EV Supply Equip - NR</v>
          </cell>
          <cell r="C22" t="str">
            <v>Res-EVCharger-7P_v1p.xlsx</v>
          </cell>
        </row>
        <row r="23">
          <cell r="B23" t="str">
            <v>Clothes Dryer - New</v>
          </cell>
          <cell r="C23" t="str">
            <v>Res-ClothesDryer-7P_v2.xlsx</v>
          </cell>
        </row>
        <row r="24">
          <cell r="B24" t="str">
            <v>Clothes Dryer - NR</v>
          </cell>
          <cell r="C24" t="str">
            <v>Res-ClothesDryer-7P_v2.xlsx</v>
          </cell>
        </row>
        <row r="25">
          <cell r="B25" t="str">
            <v>Refrigerator - New</v>
          </cell>
          <cell r="C25" t="str">
            <v>Res-RefrigFreezer-7P_v3.xlsm</v>
          </cell>
        </row>
        <row r="26">
          <cell r="B26" t="str">
            <v>Refrigerator - NR</v>
          </cell>
          <cell r="C26" t="str">
            <v>Res-RefrigFreezer-7P_v3.xlsm</v>
          </cell>
        </row>
        <row r="27">
          <cell r="B27" t="str">
            <v>Freezer - New</v>
          </cell>
          <cell r="C27" t="str">
            <v>Res-RefrigFreezer-7P_v3.xlsm</v>
          </cell>
        </row>
        <row r="28">
          <cell r="B28" t="str">
            <v>Freezer - NR</v>
          </cell>
          <cell r="C28" t="str">
            <v>Res-RefrigFreezer-7P_v3.xlsm</v>
          </cell>
        </row>
        <row r="29">
          <cell r="B29" t="str">
            <v>Solar Water Heater - New</v>
          </cell>
          <cell r="C29" t="str">
            <v>Res-SWH-7P_v1.xlsx</v>
          </cell>
        </row>
        <row r="30">
          <cell r="B30" t="str">
            <v>Solar Water Heater - NR</v>
          </cell>
        </row>
        <row r="31">
          <cell r="B31" t="str">
            <v>Solar Water Heater - Retro</v>
          </cell>
          <cell r="C31" t="str">
            <v>Res-SWH-7P_v1.xlsx</v>
          </cell>
        </row>
        <row r="32">
          <cell r="B32">
            <v>0</v>
          </cell>
        </row>
        <row r="33">
          <cell r="B33">
            <v>0</v>
          </cell>
        </row>
        <row r="34">
          <cell r="B34" t="str">
            <v>Electric Oven - New</v>
          </cell>
          <cell r="C34" t="str">
            <v>Res-Oven-7P_v3.xlsx</v>
          </cell>
        </row>
        <row r="35">
          <cell r="B35" t="str">
            <v>Electric Oven - NR</v>
          </cell>
          <cell r="C35" t="str">
            <v>Res-Oven-7P_v3.xlsx</v>
          </cell>
        </row>
        <row r="36">
          <cell r="B36" t="str">
            <v>Microwave - New</v>
          </cell>
          <cell r="C36" t="str">
            <v>Res-Microwave-7P_v3.xlsx</v>
          </cell>
        </row>
        <row r="37">
          <cell r="B37" t="str">
            <v>Microwave - NR</v>
          </cell>
          <cell r="C37" t="str">
            <v>Res-Microwave-7P_v3.xlsx</v>
          </cell>
        </row>
        <row r="38">
          <cell r="B38" t="str">
            <v>Monitor - New</v>
          </cell>
          <cell r="C38" t="str">
            <v>Res-Computers-7P_v4.xlsx</v>
          </cell>
        </row>
        <row r="39">
          <cell r="B39" t="str">
            <v>Monitor - NR</v>
          </cell>
          <cell r="C39" t="str">
            <v>Res-Computers-7P_v4.xlsx</v>
          </cell>
        </row>
        <row r="40">
          <cell r="B40" t="str">
            <v>Desktop - New</v>
          </cell>
          <cell r="C40" t="str">
            <v>Res-Computers-7P_v4.xlsx</v>
          </cell>
        </row>
        <row r="41">
          <cell r="B41" t="str">
            <v>Desktop - NR</v>
          </cell>
          <cell r="C41" t="str">
            <v>Res-Computers-7P_v4.xlsx</v>
          </cell>
        </row>
        <row r="42">
          <cell r="B42" t="str">
            <v>Laptop - New</v>
          </cell>
          <cell r="C42" t="str">
            <v>Res-Computers-7P_v4.xlsx</v>
          </cell>
        </row>
        <row r="43">
          <cell r="B43" t="str">
            <v>Laptop - NR</v>
          </cell>
          <cell r="C43" t="str">
            <v>Res-Computers-7P_v4.xlsx</v>
          </cell>
        </row>
        <row r="46">
          <cell r="B46" t="str">
            <v>ASHP - New</v>
          </cell>
          <cell r="C46" t="str">
            <v>Res-SF_HP-7P_v3.xlsx</v>
          </cell>
        </row>
        <row r="47">
          <cell r="B47" t="str">
            <v>ASHP - NR</v>
          </cell>
          <cell r="C47" t="str">
            <v>Res-SF_HP-7P_v3.xlsx</v>
          </cell>
        </row>
        <row r="49">
          <cell r="B49" t="str">
            <v>DHP - New</v>
          </cell>
          <cell r="C49" t="str">
            <v>Res-SF_HP-7P_v3.xlsx</v>
          </cell>
        </row>
        <row r="50">
          <cell r="B50" t="str">
            <v>DHP - NR</v>
          </cell>
          <cell r="C50" t="str">
            <v>Res-SF_HP-7P_v3.xlsx</v>
          </cell>
        </row>
        <row r="51">
          <cell r="B51" t="str">
            <v>DHP - Retro</v>
          </cell>
        </row>
        <row r="52">
          <cell r="B52" t="str">
            <v>Duct Sealing - New</v>
          </cell>
          <cell r="C52" t="str">
            <v>Res-Duct_Seal-7P_v3.xlsx</v>
          </cell>
        </row>
        <row r="53">
          <cell r="B53" t="str">
            <v>Duct Sealing - Retro</v>
          </cell>
          <cell r="C53" t="str">
            <v>Res-Duct_Seal-7P_v3.xlsx</v>
          </cell>
        </row>
        <row r="54">
          <cell r="B54" t="str">
            <v>WIFI enabled tstats - New</v>
          </cell>
          <cell r="C54" t="str">
            <v>Res-WiFitstat-7P_v3.xlsx</v>
          </cell>
        </row>
        <row r="55">
          <cell r="B55" t="str">
            <v>WIFI enabled tstats - Retro</v>
          </cell>
          <cell r="C55" t="str">
            <v>Res-WiFitstat-7P_v3.xlsx</v>
          </cell>
        </row>
        <row r="56">
          <cell r="B56" t="str">
            <v>Combo DHP/HPWH units - New</v>
          </cell>
        </row>
        <row r="57">
          <cell r="B57" t="str">
            <v>Combo DHP/HPWH units - NR</v>
          </cell>
        </row>
        <row r="58">
          <cell r="B58" t="str">
            <v>Combo DHP/HPWH units - Retro</v>
          </cell>
        </row>
        <row r="59">
          <cell r="B59" t="str">
            <v>Aerator - New</v>
          </cell>
          <cell r="C59" t="str">
            <v>Res-Aerator-7P_v4.xlsx</v>
          </cell>
        </row>
        <row r="60">
          <cell r="B60" t="str">
            <v>Aerator - Retro</v>
          </cell>
          <cell r="C60" t="str">
            <v>Res-Aerator-7P_v4.xlsx</v>
          </cell>
        </row>
        <row r="61">
          <cell r="B61" t="str">
            <v>Behavior - Retro</v>
          </cell>
          <cell r="C61" t="str">
            <v>Res-COP-7P_v2.xlsx</v>
          </cell>
        </row>
        <row r="62">
          <cell r="B62" t="str">
            <v>Behavior - New</v>
          </cell>
          <cell r="C62" t="str">
            <v>Res-COP-7P_v2.xlsx</v>
          </cell>
        </row>
        <row r="63">
          <cell r="B63">
            <v>0</v>
          </cell>
        </row>
        <row r="64">
          <cell r="B64" t="str">
            <v>Heat Recovery Ventilation - New</v>
          </cell>
          <cell r="C64" t="str">
            <v>Res-HRV-7P_v1.xlsx</v>
          </cell>
        </row>
        <row r="65">
          <cell r="B65" t="str">
            <v>GSHP - New</v>
          </cell>
          <cell r="C65" t="str">
            <v>Res-GSHP-7P_v1.xlsx</v>
          </cell>
        </row>
        <row r="66">
          <cell r="B66" t="str">
            <v>GSHP - NR</v>
          </cell>
          <cell r="C66" t="str">
            <v>Res-GSHP-7P_v1.xlsx</v>
          </cell>
        </row>
        <row r="67">
          <cell r="B67">
            <v>0</v>
          </cell>
        </row>
        <row r="68">
          <cell r="B68" t="str">
            <v>ECM for HVAC ventilation - New</v>
          </cell>
        </row>
        <row r="69">
          <cell r="B69" t="str">
            <v>ECM for HVAC ventilation - NR</v>
          </cell>
        </row>
        <row r="70">
          <cell r="B70" t="str">
            <v>Whole house/attic fan - New</v>
          </cell>
        </row>
        <row r="71">
          <cell r="B71" t="str">
            <v>Whole house/attic fan - Retro</v>
          </cell>
        </row>
        <row r="72">
          <cell r="B72" t="str">
            <v>WH Pipe insulation - Retro</v>
          </cell>
        </row>
        <row r="73">
          <cell r="B73" t="str">
            <v>DHP Ducted - NR</v>
          </cell>
          <cell r="C73" t="str">
            <v>Res-FAF to DHP-7P_v1.xlsx</v>
          </cell>
        </row>
        <row r="74">
          <cell r="B74" t="str">
            <v>Advanced Power Strips - New</v>
          </cell>
          <cell r="C74" t="str">
            <v>Res-PowerStrips-7P_v4.xlsx</v>
          </cell>
        </row>
        <row r="75">
          <cell r="B75" t="str">
            <v>Advanced Power Strips - Retro</v>
          </cell>
          <cell r="C75" t="str">
            <v>Res-PowerStrips-7P_v4.xlsx</v>
          </cell>
        </row>
        <row r="76">
          <cell r="B76" t="str">
            <v>Controls Commissioning and Sizing - New</v>
          </cell>
          <cell r="C76" t="str">
            <v>Res-CCS-7P_v3.xlsx</v>
          </cell>
        </row>
        <row r="77">
          <cell r="B77" t="str">
            <v>Controls Commissioning and Sizing - NR</v>
          </cell>
          <cell r="C77" t="str">
            <v>Res-CCS-7P_v3.xlsx</v>
          </cell>
        </row>
        <row r="78">
          <cell r="B78" t="str">
            <v>ResWx - Retro</v>
          </cell>
          <cell r="C78" t="str">
            <v>Res-SF_Wx-7P_v4.xlsx</v>
          </cell>
        </row>
        <row r="79">
          <cell r="B79" t="str">
            <v>ResWx - Retro</v>
          </cell>
          <cell r="C79" t="str">
            <v>Res-MF_Wx-7P_v4.xlsx</v>
          </cell>
        </row>
        <row r="80">
          <cell r="B80" t="str">
            <v>ResWx - Retro</v>
          </cell>
          <cell r="C80" t="str">
            <v>Res-MH_Wx-7P_v3.xlsx</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row>
        <row r="44">
          <cell r="B44" t="str">
            <v>Computer - NR</v>
          </cell>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C100">
            <v>0</v>
          </cell>
          <cell r="D100">
            <v>0</v>
          </cell>
          <cell r="E100">
            <v>0</v>
          </cell>
          <cell r="F100">
            <v>0</v>
          </cell>
        </row>
      </sheetData>
      <sheetData sheetId="5">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1</v>
          </cell>
          <cell r="D10">
            <v>1</v>
          </cell>
          <cell r="E10">
            <v>1</v>
          </cell>
          <cell r="F10">
            <v>1</v>
          </cell>
        </row>
        <row r="11">
          <cell r="B11" t="str">
            <v>Lighting - PPA</v>
          </cell>
          <cell r="C11">
            <v>1</v>
          </cell>
          <cell r="D11">
            <v>1</v>
          </cell>
          <cell r="E11">
            <v>1</v>
          </cell>
          <cell r="F11">
            <v>1</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1</v>
          </cell>
          <cell r="D17">
            <v>1</v>
          </cell>
          <cell r="E17">
            <v>1</v>
          </cell>
          <cell r="F17">
            <v>1</v>
          </cell>
        </row>
        <row r="18">
          <cell r="B18" t="str">
            <v>Showerheads - Retro</v>
          </cell>
          <cell r="C18">
            <v>1</v>
          </cell>
          <cell r="D18">
            <v>1</v>
          </cell>
          <cell r="E18">
            <v>1</v>
          </cell>
          <cell r="F18">
            <v>1</v>
          </cell>
        </row>
        <row r="19">
          <cell r="B19" t="str">
            <v>HPWH - New</v>
          </cell>
          <cell r="C19">
            <v>0.95</v>
          </cell>
          <cell r="D19">
            <v>0</v>
          </cell>
          <cell r="E19">
            <v>0</v>
          </cell>
          <cell r="F19">
            <v>0.95</v>
          </cell>
        </row>
        <row r="20">
          <cell r="B20" t="str">
            <v>HPWH - NR</v>
          </cell>
          <cell r="C20">
            <v>0.95</v>
          </cell>
          <cell r="D20">
            <v>0</v>
          </cell>
          <cell r="E20">
            <v>0</v>
          </cell>
          <cell r="F20">
            <v>0.95</v>
          </cell>
        </row>
        <row r="21">
          <cell r="B21" t="str">
            <v>EV Supply Equip - NR</v>
          </cell>
          <cell r="C21">
            <v>0.9</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0.25</v>
          </cell>
          <cell r="D28">
            <v>0.25</v>
          </cell>
        </row>
        <row r="29">
          <cell r="B29" t="str">
            <v>Solar Water Heater - NR</v>
          </cell>
          <cell r="C29">
            <v>0.25</v>
          </cell>
          <cell r="D29">
            <v>0.25</v>
          </cell>
        </row>
        <row r="30">
          <cell r="B30" t="str">
            <v>Solar Water Heater - Retro</v>
          </cell>
          <cell r="C30">
            <v>0.25</v>
          </cell>
          <cell r="D30">
            <v>0.25</v>
          </cell>
        </row>
        <row r="31">
          <cell r="B31">
            <v>0</v>
          </cell>
        </row>
        <row r="32">
          <cell r="B32">
            <v>0</v>
          </cell>
        </row>
        <row r="33">
          <cell r="B33" t="str">
            <v>Electric Oven - New</v>
          </cell>
          <cell r="C33">
            <v>1</v>
          </cell>
          <cell r="D33">
            <v>1</v>
          </cell>
          <cell r="E33">
            <v>1</v>
          </cell>
          <cell r="F33">
            <v>1</v>
          </cell>
        </row>
        <row r="34">
          <cell r="B34" t="str">
            <v>Electric Oven - NR</v>
          </cell>
          <cell r="C34">
            <v>1</v>
          </cell>
          <cell r="D34">
            <v>1</v>
          </cell>
          <cell r="E34">
            <v>1</v>
          </cell>
          <cell r="F34">
            <v>1</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1</v>
          </cell>
          <cell r="D37">
            <v>1</v>
          </cell>
          <cell r="E37">
            <v>1</v>
          </cell>
          <cell r="F37">
            <v>1</v>
          </cell>
        </row>
        <row r="38">
          <cell r="B38" t="str">
            <v>Monitor - NR</v>
          </cell>
          <cell r="C38">
            <v>1</v>
          </cell>
          <cell r="D38">
            <v>1</v>
          </cell>
          <cell r="E38">
            <v>1</v>
          </cell>
          <cell r="F38">
            <v>1</v>
          </cell>
        </row>
        <row r="39">
          <cell r="B39" t="str">
            <v>Desktop - New</v>
          </cell>
          <cell r="C39">
            <v>1</v>
          </cell>
          <cell r="D39">
            <v>1</v>
          </cell>
          <cell r="E39">
            <v>1</v>
          </cell>
          <cell r="F39">
            <v>1</v>
          </cell>
        </row>
        <row r="40">
          <cell r="B40" t="str">
            <v>Desktop - NR</v>
          </cell>
          <cell r="C40">
            <v>1</v>
          </cell>
          <cell r="D40">
            <v>1</v>
          </cell>
          <cell r="E40">
            <v>1</v>
          </cell>
          <cell r="F40">
            <v>1</v>
          </cell>
        </row>
        <row r="41">
          <cell r="B41" t="str">
            <v>Laptop - New</v>
          </cell>
          <cell r="C41">
            <v>1</v>
          </cell>
          <cell r="D41">
            <v>1</v>
          </cell>
          <cell r="E41">
            <v>1</v>
          </cell>
          <cell r="F41">
            <v>1</v>
          </cell>
        </row>
        <row r="42">
          <cell r="B42" t="str">
            <v>Laptop - NR</v>
          </cell>
          <cell r="C42">
            <v>1</v>
          </cell>
          <cell r="D42">
            <v>1</v>
          </cell>
          <cell r="E42">
            <v>1</v>
          </cell>
          <cell r="F42">
            <v>1</v>
          </cell>
        </row>
        <row r="43">
          <cell r="B43" t="str">
            <v>Computer - New</v>
          </cell>
        </row>
        <row r="44">
          <cell r="B44" t="str">
            <v>Computer - NR</v>
          </cell>
        </row>
        <row r="45">
          <cell r="B45" t="str">
            <v>ASHP - New</v>
          </cell>
          <cell r="C45">
            <v>0.9</v>
          </cell>
          <cell r="D45">
            <v>0.5</v>
          </cell>
          <cell r="E45">
            <v>0</v>
          </cell>
          <cell r="F45">
            <v>0.9</v>
          </cell>
        </row>
        <row r="46">
          <cell r="B46" t="str">
            <v>ASHP - NR</v>
          </cell>
          <cell r="C46">
            <v>0.75</v>
          </cell>
          <cell r="D46">
            <v>0.5</v>
          </cell>
          <cell r="E46">
            <v>0</v>
          </cell>
          <cell r="F46">
            <v>0.25</v>
          </cell>
        </row>
        <row r="47">
          <cell r="B47" t="str">
            <v>HP - Retro</v>
          </cell>
        </row>
        <row r="48">
          <cell r="B48" t="str">
            <v>DHP - New</v>
          </cell>
          <cell r="C48">
            <v>0.99</v>
          </cell>
          <cell r="D48">
            <v>0.99</v>
          </cell>
          <cell r="E48">
            <v>0</v>
          </cell>
          <cell r="F48">
            <v>0.99</v>
          </cell>
        </row>
        <row r="49">
          <cell r="B49" t="str">
            <v>DHP - NR</v>
          </cell>
          <cell r="C49">
            <v>0.99</v>
          </cell>
          <cell r="D49">
            <v>0.99</v>
          </cell>
          <cell r="E49">
            <v>0</v>
          </cell>
          <cell r="F49">
            <v>0.99</v>
          </cell>
        </row>
        <row r="50">
          <cell r="B50" t="str">
            <v>DHP - Retro</v>
          </cell>
        </row>
        <row r="51">
          <cell r="B51" t="str">
            <v>Duct Sealing - New</v>
          </cell>
          <cell r="C51">
            <v>1</v>
          </cell>
          <cell r="F51">
            <v>1</v>
          </cell>
        </row>
        <row r="52">
          <cell r="B52" t="str">
            <v>Duct Sealing - Retro</v>
          </cell>
          <cell r="C52">
            <v>0.95</v>
          </cell>
          <cell r="F52">
            <v>0.95</v>
          </cell>
        </row>
        <row r="53">
          <cell r="B53" t="str">
            <v>WIFI enabled tstats - New</v>
          </cell>
          <cell r="C53">
            <v>0.2</v>
          </cell>
          <cell r="D53">
            <v>0.2</v>
          </cell>
          <cell r="E53">
            <v>0</v>
          </cell>
          <cell r="F53">
            <v>0.2</v>
          </cell>
        </row>
        <row r="54">
          <cell r="B54" t="str">
            <v>WIFI enabled tstats - Retro</v>
          </cell>
          <cell r="C54">
            <v>0.2</v>
          </cell>
          <cell r="D54">
            <v>0.2</v>
          </cell>
          <cell r="E54">
            <v>0</v>
          </cell>
          <cell r="F54">
            <v>0.2</v>
          </cell>
        </row>
        <row r="55">
          <cell r="B55" t="str">
            <v>Combo DHP/HPWH units - New</v>
          </cell>
        </row>
        <row r="56">
          <cell r="B56" t="str">
            <v>Combo DHP/HPWH units - NR</v>
          </cell>
        </row>
        <row r="57">
          <cell r="B57" t="str">
            <v>Combo DHP/HPWH units - Retro</v>
          </cell>
        </row>
        <row r="58">
          <cell r="B58" t="str">
            <v>Aerator - New</v>
          </cell>
          <cell r="C58">
            <v>0.9</v>
          </cell>
          <cell r="D58">
            <v>0.9</v>
          </cell>
          <cell r="E58">
            <v>0.9</v>
          </cell>
          <cell r="F58">
            <v>0.9</v>
          </cell>
        </row>
        <row r="59">
          <cell r="B59" t="str">
            <v>Aerator - Retro</v>
          </cell>
          <cell r="C59">
            <v>0.9</v>
          </cell>
          <cell r="D59">
            <v>0.9</v>
          </cell>
          <cell r="E59">
            <v>0.9</v>
          </cell>
          <cell r="F59">
            <v>0.9</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row>
        <row r="63">
          <cell r="B63" t="str">
            <v>Heat Recovery Ventilation - New</v>
          </cell>
          <cell r="C63">
            <v>0.9</v>
          </cell>
        </row>
        <row r="64">
          <cell r="B64" t="str">
            <v>GSHP - New</v>
          </cell>
          <cell r="C64">
            <v>0.12485156673907999</v>
          </cell>
        </row>
        <row r="65">
          <cell r="B65" t="str">
            <v>GSHP - NR</v>
          </cell>
          <cell r="C65">
            <v>0.12485156673907999</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0.25</v>
          </cell>
          <cell r="D72">
            <v>0</v>
          </cell>
          <cell r="E72">
            <v>0</v>
          </cell>
          <cell r="F72">
            <v>0.75</v>
          </cell>
        </row>
        <row r="73">
          <cell r="B73" t="str">
            <v>Advanced Power Strips - New</v>
          </cell>
          <cell r="C73">
            <v>0.34</v>
          </cell>
          <cell r="D73">
            <v>0.25</v>
          </cell>
          <cell r="E73">
            <v>0.25</v>
          </cell>
          <cell r="F73">
            <v>0.25</v>
          </cell>
        </row>
        <row r="74">
          <cell r="B74" t="str">
            <v>Advanced Power Strips - Retro</v>
          </cell>
          <cell r="C74">
            <v>0.34</v>
          </cell>
          <cell r="D74">
            <v>0.25</v>
          </cell>
          <cell r="E74">
            <v>0.25</v>
          </cell>
          <cell r="F74">
            <v>0.25</v>
          </cell>
        </row>
        <row r="75">
          <cell r="B75" t="str">
            <v>Controls Commissioning and Sizing - New</v>
          </cell>
          <cell r="C75">
            <v>0.8</v>
          </cell>
          <cell r="F75">
            <v>0.8</v>
          </cell>
        </row>
        <row r="76">
          <cell r="B76" t="str">
            <v>Controls Commissioning and Sizing - NR</v>
          </cell>
          <cell r="C76">
            <v>0.8</v>
          </cell>
          <cell r="F76">
            <v>0.8</v>
          </cell>
        </row>
        <row r="77">
          <cell r="B77" t="str">
            <v>ResWx - Retro</v>
          </cell>
          <cell r="C77">
            <v>1</v>
          </cell>
          <cell r="D77">
            <v>1</v>
          </cell>
          <cell r="E77">
            <v>0</v>
          </cell>
          <cell r="F77">
            <v>1</v>
          </cell>
        </row>
        <row r="78">
          <cell r="B78" t="str">
            <v>ATTIC R0 - R19 - Retro</v>
          </cell>
          <cell r="D78">
            <v>5.4136342171710254E-2</v>
          </cell>
          <cell r="E78">
            <v>0</v>
          </cell>
        </row>
        <row r="79">
          <cell r="B79" t="str">
            <v>ATTIC R0 - R22 - Retro</v>
          </cell>
          <cell r="E79">
            <v>0</v>
          </cell>
          <cell r="F79">
            <v>1</v>
          </cell>
        </row>
        <row r="80">
          <cell r="B80" t="str">
            <v>ATTIC R0 - R30 - Retro</v>
          </cell>
          <cell r="E80">
            <v>0</v>
          </cell>
          <cell r="F80">
            <v>1</v>
          </cell>
        </row>
        <row r="81">
          <cell r="B81" t="str">
            <v>ATTIC R0 - R38 - Retro</v>
          </cell>
          <cell r="C81">
            <v>0.32014844015471466</v>
          </cell>
          <cell r="D81">
            <v>4.7584775838642859E-2</v>
          </cell>
          <cell r="E81">
            <v>0</v>
          </cell>
        </row>
        <row r="82">
          <cell r="B82" t="str">
            <v>ATTIC R0 - R49 - Retro</v>
          </cell>
          <cell r="C82">
            <v>0.17058205505053403</v>
          </cell>
          <cell r="D82">
            <v>0.28384144507905706</v>
          </cell>
          <cell r="E82">
            <v>0</v>
          </cell>
        </row>
        <row r="83">
          <cell r="B83" t="str">
            <v>ATTIC R11 - R30 - Retro</v>
          </cell>
          <cell r="E83">
            <v>0</v>
          </cell>
          <cell r="F83">
            <v>1</v>
          </cell>
        </row>
        <row r="84">
          <cell r="B84" t="str">
            <v>ATTIC R11 - R38 - Retro</v>
          </cell>
          <cell r="C84">
            <v>0.17430969903565588</v>
          </cell>
          <cell r="E84">
            <v>0</v>
          </cell>
        </row>
        <row r="85">
          <cell r="B85" t="str">
            <v>ATTIC R11 - R49 - Retro</v>
          </cell>
          <cell r="C85">
            <v>0.13678890043469027</v>
          </cell>
          <cell r="E85">
            <v>0</v>
          </cell>
        </row>
        <row r="86">
          <cell r="B86" t="str">
            <v>ATTIC R19 - R30 - Retro</v>
          </cell>
          <cell r="D86">
            <v>0.22227051198635747</v>
          </cell>
          <cell r="E86">
            <v>0</v>
          </cell>
        </row>
        <row r="87">
          <cell r="B87" t="str">
            <v>ATTIC R19 - R38 - Retro</v>
          </cell>
          <cell r="C87">
            <v>4.6501964215835925E-2</v>
          </cell>
          <cell r="D87">
            <v>3.4310978703902796E-2</v>
          </cell>
          <cell r="E87">
            <v>0</v>
          </cell>
        </row>
        <row r="88">
          <cell r="B88" t="str">
            <v>ATTIC R19 - R49 - Retro</v>
          </cell>
          <cell r="C88">
            <v>0.1001242132993031</v>
          </cell>
          <cell r="D88">
            <v>0.50397933760908686</v>
          </cell>
          <cell r="E88">
            <v>0</v>
          </cell>
        </row>
        <row r="89">
          <cell r="B89" t="str">
            <v>WALL R0 - R11 - Retro</v>
          </cell>
          <cell r="C89">
            <v>1</v>
          </cell>
          <cell r="D89">
            <v>1</v>
          </cell>
          <cell r="E89">
            <v>0</v>
          </cell>
        </row>
        <row r="90">
          <cell r="B90" t="str">
            <v>FLOOR R0 - R19 - Retro</v>
          </cell>
          <cell r="C90">
            <v>0.34333690117039206</v>
          </cell>
          <cell r="D90">
            <v>8.2838470698342936E-2</v>
          </cell>
          <cell r="E90">
            <v>0</v>
          </cell>
        </row>
        <row r="91">
          <cell r="B91" t="str">
            <v>FLOOR R0 - R22 - Retro</v>
          </cell>
          <cell r="E91">
            <v>0</v>
          </cell>
          <cell r="F91">
            <v>1</v>
          </cell>
        </row>
        <row r="92">
          <cell r="B92" t="str">
            <v>FLOOR R0 - R25 - Retro</v>
          </cell>
          <cell r="C92">
            <v>0.19851645323572223</v>
          </cell>
          <cell r="E92">
            <v>0</v>
          </cell>
        </row>
        <row r="93">
          <cell r="B93" t="str">
            <v>FLOOR R0 - R30 - Retro</v>
          </cell>
          <cell r="C93">
            <v>0.45814664559388574</v>
          </cell>
          <cell r="D93">
            <v>0.91716152930165706</v>
          </cell>
          <cell r="E93">
            <v>0</v>
          </cell>
        </row>
        <row r="94">
          <cell r="B94" t="str">
            <v>FLOOR R11 - R22 - Retro</v>
          </cell>
          <cell r="E94">
            <v>0</v>
          </cell>
          <cell r="F94">
            <v>1</v>
          </cell>
        </row>
        <row r="95">
          <cell r="B95" t="str">
            <v>WINDOW CL30 Prime Window Replacement of Single Pane Base - Retro</v>
          </cell>
          <cell r="C95">
            <v>0.8</v>
          </cell>
          <cell r="D95">
            <v>0.8</v>
          </cell>
          <cell r="E95">
            <v>0</v>
          </cell>
          <cell r="F95">
            <v>0.8</v>
          </cell>
        </row>
        <row r="96">
          <cell r="B96" t="str">
            <v>WINDOW CL30 Prime Window Replacement of Double Pane Base - Retro</v>
          </cell>
          <cell r="C96">
            <v>0.8</v>
          </cell>
          <cell r="D96">
            <v>0.8</v>
          </cell>
          <cell r="E96">
            <v>0</v>
          </cell>
          <cell r="F96">
            <v>0.8</v>
          </cell>
        </row>
        <row r="97">
          <cell r="B97" t="str">
            <v>WINDOW CL22 Prime Window Replacement of Single Pane Base - Retro</v>
          </cell>
          <cell r="C97">
            <v>0.2</v>
          </cell>
          <cell r="D97">
            <v>0.2</v>
          </cell>
          <cell r="E97">
            <v>0</v>
          </cell>
          <cell r="F97">
            <v>0.2</v>
          </cell>
        </row>
        <row r="98">
          <cell r="B98" t="str">
            <v>WINDOW CL22 Prime Window Replacement of Double Pane Base - Retro</v>
          </cell>
          <cell r="C98">
            <v>0.2</v>
          </cell>
          <cell r="D98">
            <v>0.2</v>
          </cell>
          <cell r="E98">
            <v>0</v>
          </cell>
          <cell r="F98">
            <v>0.2</v>
          </cell>
        </row>
        <row r="99">
          <cell r="B99" t="str">
            <v>CFM50 Infiltration Reduction - Retro</v>
          </cell>
          <cell r="C99">
            <v>0.5</v>
          </cell>
          <cell r="D99">
            <v>0.5</v>
          </cell>
          <cell r="E99">
            <v>0</v>
          </cell>
          <cell r="F99">
            <v>1</v>
          </cell>
        </row>
      </sheetData>
      <sheetData sheetId="6">
        <row r="8">
          <cell r="B8" t="str">
            <v>Measure Index Name</v>
          </cell>
          <cell r="C8" t="str">
            <v>Single Family</v>
          </cell>
          <cell r="D8" t="str">
            <v>Multifamily - Low Rise</v>
          </cell>
          <cell r="E8" t="str">
            <v>Multifamily - High Rise</v>
          </cell>
          <cell r="F8" t="str">
            <v>Manufactured</v>
          </cell>
        </row>
        <row r="9">
          <cell r="B9" t="str">
            <v>Lighting - New</v>
          </cell>
          <cell r="C9">
            <v>0.23499999999999999</v>
          </cell>
          <cell r="D9">
            <v>0.23499999999999999</v>
          </cell>
          <cell r="E9">
            <v>0.23499999999999999</v>
          </cell>
          <cell r="F9">
            <v>0.23499999999999999</v>
          </cell>
        </row>
        <row r="10">
          <cell r="B10" t="str">
            <v>Lighting - NR</v>
          </cell>
          <cell r="C10">
            <v>0.1</v>
          </cell>
          <cell r="D10">
            <v>0.1</v>
          </cell>
          <cell r="E10">
            <v>0.1</v>
          </cell>
          <cell r="F10">
            <v>0.1</v>
          </cell>
        </row>
        <row r="11">
          <cell r="B11" t="str">
            <v>Lighting - PPA</v>
          </cell>
          <cell r="C11">
            <v>0.1</v>
          </cell>
          <cell r="D11">
            <v>0.1</v>
          </cell>
          <cell r="E11">
            <v>0.1</v>
          </cell>
          <cell r="F11">
            <v>0.1</v>
          </cell>
        </row>
        <row r="12">
          <cell r="B12" t="str">
            <v>Dishwasher - New</v>
          </cell>
          <cell r="C12">
            <v>0</v>
          </cell>
          <cell r="D12">
            <v>0</v>
          </cell>
          <cell r="E12">
            <v>0</v>
          </cell>
          <cell r="F12">
            <v>0</v>
          </cell>
        </row>
        <row r="13">
          <cell r="B13" t="str">
            <v>Dishwasher - NR</v>
          </cell>
          <cell r="C13">
            <v>0</v>
          </cell>
          <cell r="D13">
            <v>0</v>
          </cell>
          <cell r="E13">
            <v>0</v>
          </cell>
          <cell r="F13">
            <v>0</v>
          </cell>
        </row>
        <row r="14">
          <cell r="B14" t="str">
            <v>Clothes Washer - New</v>
          </cell>
          <cell r="C14">
            <v>0</v>
          </cell>
          <cell r="D14">
            <v>0</v>
          </cell>
          <cell r="E14">
            <v>0</v>
          </cell>
          <cell r="F14">
            <v>0</v>
          </cell>
        </row>
        <row r="15">
          <cell r="B15" t="str">
            <v>Clothes Washer - NR</v>
          </cell>
          <cell r="C15">
            <v>0</v>
          </cell>
          <cell r="D15">
            <v>0</v>
          </cell>
          <cell r="E15">
            <v>0</v>
          </cell>
          <cell r="F15">
            <v>0</v>
          </cell>
        </row>
        <row r="16">
          <cell r="B16" t="str">
            <v>WasteWater Heat Recovery - New</v>
          </cell>
          <cell r="C16">
            <v>0</v>
          </cell>
          <cell r="D16">
            <v>0</v>
          </cell>
          <cell r="E16">
            <v>0</v>
          </cell>
          <cell r="F16">
            <v>0</v>
          </cell>
        </row>
        <row r="17">
          <cell r="B17" t="str">
            <v>Showerheads - New</v>
          </cell>
          <cell r="C17">
            <v>0.48399999999999999</v>
          </cell>
          <cell r="D17">
            <v>0.42</v>
          </cell>
          <cell r="E17">
            <v>0.42</v>
          </cell>
          <cell r="F17">
            <v>0.66</v>
          </cell>
        </row>
        <row r="18">
          <cell r="B18" t="str">
            <v>Showerheads - Retro</v>
          </cell>
          <cell r="C18">
            <v>0.55752571342007584</v>
          </cell>
          <cell r="D18">
            <v>0.42</v>
          </cell>
          <cell r="E18">
            <v>0.42</v>
          </cell>
          <cell r="F18">
            <v>0.66</v>
          </cell>
        </row>
        <row r="19">
          <cell r="B19" t="str">
            <v>HPWH - New</v>
          </cell>
          <cell r="C19">
            <v>1E-3</v>
          </cell>
          <cell r="D19">
            <v>0</v>
          </cell>
          <cell r="E19">
            <v>0</v>
          </cell>
          <cell r="F19">
            <v>0</v>
          </cell>
        </row>
        <row r="20">
          <cell r="B20" t="str">
            <v>HPWH - NR</v>
          </cell>
          <cell r="C20">
            <v>1E-3</v>
          </cell>
          <cell r="D20">
            <v>0</v>
          </cell>
          <cell r="E20">
            <v>0</v>
          </cell>
          <cell r="F20">
            <v>0</v>
          </cell>
        </row>
        <row r="21">
          <cell r="B21" t="str">
            <v>EV Supply Equip - NR</v>
          </cell>
          <cell r="C21">
            <v>0.01</v>
          </cell>
          <cell r="D21">
            <v>0</v>
          </cell>
          <cell r="E21">
            <v>0</v>
          </cell>
          <cell r="F21">
            <v>0</v>
          </cell>
        </row>
        <row r="22">
          <cell r="B22" t="str">
            <v>Clothes Dryer - New</v>
          </cell>
          <cell r="C22">
            <v>0</v>
          </cell>
          <cell r="D22">
            <v>0</v>
          </cell>
          <cell r="E22">
            <v>0</v>
          </cell>
          <cell r="F22">
            <v>0</v>
          </cell>
        </row>
        <row r="23">
          <cell r="B23" t="str">
            <v>Clothes Dryer - NR</v>
          </cell>
          <cell r="C23">
            <v>0</v>
          </cell>
          <cell r="D23">
            <v>0</v>
          </cell>
          <cell r="E23">
            <v>0</v>
          </cell>
          <cell r="F23">
            <v>0</v>
          </cell>
        </row>
        <row r="24">
          <cell r="B24" t="str">
            <v>Refrigerator - New</v>
          </cell>
          <cell r="C24">
            <v>0</v>
          </cell>
          <cell r="D24">
            <v>0</v>
          </cell>
          <cell r="E24">
            <v>0</v>
          </cell>
          <cell r="F24">
            <v>0</v>
          </cell>
        </row>
        <row r="25">
          <cell r="B25" t="str">
            <v>Refrigerator - NR</v>
          </cell>
          <cell r="C25">
            <v>0</v>
          </cell>
          <cell r="D25">
            <v>0</v>
          </cell>
          <cell r="E25">
            <v>0</v>
          </cell>
          <cell r="F25">
            <v>0</v>
          </cell>
        </row>
        <row r="26">
          <cell r="B26" t="str">
            <v>Freezer - New</v>
          </cell>
          <cell r="C26">
            <v>0</v>
          </cell>
          <cell r="D26">
            <v>0</v>
          </cell>
          <cell r="E26">
            <v>0</v>
          </cell>
          <cell r="F26">
            <v>0</v>
          </cell>
        </row>
        <row r="27">
          <cell r="B27" t="str">
            <v>Freezer - NR</v>
          </cell>
          <cell r="C27">
            <v>0</v>
          </cell>
          <cell r="D27">
            <v>0</v>
          </cell>
          <cell r="E27">
            <v>0</v>
          </cell>
          <cell r="F27">
            <v>0</v>
          </cell>
        </row>
        <row r="28">
          <cell r="B28" t="str">
            <v>Solar Water Heater - New</v>
          </cell>
          <cell r="C28">
            <v>0.01</v>
          </cell>
          <cell r="D28">
            <v>0</v>
          </cell>
        </row>
        <row r="29">
          <cell r="B29" t="str">
            <v>Solar Water Heater - NR</v>
          </cell>
          <cell r="C29">
            <v>0.01</v>
          </cell>
          <cell r="D29">
            <v>0</v>
          </cell>
        </row>
        <row r="30">
          <cell r="B30" t="str">
            <v>Solar Water Heater - Retro</v>
          </cell>
          <cell r="C30">
            <v>0.01</v>
          </cell>
          <cell r="D30">
            <v>0</v>
          </cell>
        </row>
        <row r="31">
          <cell r="B31">
            <v>0</v>
          </cell>
        </row>
        <row r="32">
          <cell r="B32">
            <v>0</v>
          </cell>
        </row>
        <row r="33">
          <cell r="B33" t="str">
            <v>Electric Oven - New</v>
          </cell>
          <cell r="C33">
            <v>0.1</v>
          </cell>
          <cell r="D33">
            <v>0.1</v>
          </cell>
          <cell r="E33">
            <v>0.1</v>
          </cell>
          <cell r="F33">
            <v>0.1</v>
          </cell>
        </row>
        <row r="34">
          <cell r="B34" t="str">
            <v>Electric Oven - NR</v>
          </cell>
          <cell r="C34">
            <v>0.1</v>
          </cell>
          <cell r="D34">
            <v>0.1</v>
          </cell>
          <cell r="E34">
            <v>0.1</v>
          </cell>
          <cell r="F34">
            <v>0.1</v>
          </cell>
        </row>
        <row r="35">
          <cell r="B35" t="str">
            <v>Microwave - New</v>
          </cell>
          <cell r="C35">
            <v>0</v>
          </cell>
          <cell r="D35">
            <v>0</v>
          </cell>
          <cell r="E35">
            <v>0</v>
          </cell>
          <cell r="F35">
            <v>0</v>
          </cell>
        </row>
        <row r="36">
          <cell r="B36" t="str">
            <v>Microwave - NR</v>
          </cell>
          <cell r="C36">
            <v>0</v>
          </cell>
          <cell r="D36">
            <v>0</v>
          </cell>
          <cell r="E36">
            <v>0</v>
          </cell>
          <cell r="F36">
            <v>0</v>
          </cell>
        </row>
        <row r="37">
          <cell r="B37" t="str">
            <v>Monitor - New</v>
          </cell>
          <cell r="C37">
            <v>0.55000000000000004</v>
          </cell>
          <cell r="D37">
            <v>0.55000000000000004</v>
          </cell>
          <cell r="E37">
            <v>0.55000000000000004</v>
          </cell>
          <cell r="F37">
            <v>0.55000000000000004</v>
          </cell>
        </row>
        <row r="38">
          <cell r="B38" t="str">
            <v>Monitor - NR</v>
          </cell>
          <cell r="C38">
            <v>0.55000000000000004</v>
          </cell>
          <cell r="D38">
            <v>0.55000000000000004</v>
          </cell>
          <cell r="E38">
            <v>0.55000000000000004</v>
          </cell>
          <cell r="F38">
            <v>0.55000000000000004</v>
          </cell>
        </row>
        <row r="39">
          <cell r="B39" t="str">
            <v>Desktop - New</v>
          </cell>
          <cell r="C39">
            <v>0.25</v>
          </cell>
          <cell r="D39">
            <v>0.25</v>
          </cell>
          <cell r="E39">
            <v>0.25</v>
          </cell>
          <cell r="F39">
            <v>0.25</v>
          </cell>
        </row>
        <row r="40">
          <cell r="B40" t="str">
            <v>Desktop - NR</v>
          </cell>
          <cell r="C40">
            <v>0.25</v>
          </cell>
          <cell r="D40">
            <v>0.25</v>
          </cell>
          <cell r="E40">
            <v>0.25</v>
          </cell>
          <cell r="F40">
            <v>0.25</v>
          </cell>
        </row>
        <row r="41">
          <cell r="B41" t="str">
            <v>Laptop - New</v>
          </cell>
          <cell r="C41">
            <v>0.74</v>
          </cell>
          <cell r="D41">
            <v>0.74</v>
          </cell>
          <cell r="E41">
            <v>0.74</v>
          </cell>
          <cell r="F41">
            <v>0.74</v>
          </cell>
        </row>
        <row r="42">
          <cell r="B42" t="str">
            <v>Laptop - NR</v>
          </cell>
          <cell r="C42">
            <v>0.74</v>
          </cell>
          <cell r="D42">
            <v>0.74</v>
          </cell>
          <cell r="E42">
            <v>0.74</v>
          </cell>
          <cell r="F42">
            <v>0.74</v>
          </cell>
        </row>
        <row r="43">
          <cell r="B43" t="str">
            <v>Computer - New</v>
          </cell>
        </row>
        <row r="44">
          <cell r="B44" t="str">
            <v>Computer - NR</v>
          </cell>
        </row>
        <row r="45">
          <cell r="B45" t="str">
            <v>ASHP - New</v>
          </cell>
          <cell r="C45">
            <v>0.02</v>
          </cell>
          <cell r="D45">
            <v>0</v>
          </cell>
          <cell r="E45">
            <v>0</v>
          </cell>
          <cell r="F45">
            <v>0</v>
          </cell>
        </row>
        <row r="46">
          <cell r="B46" t="str">
            <v>ASHP - NR</v>
          </cell>
          <cell r="C46">
            <v>0.02</v>
          </cell>
          <cell r="D46">
            <v>0</v>
          </cell>
          <cell r="E46">
            <v>0</v>
          </cell>
          <cell r="F46">
            <v>0</v>
          </cell>
        </row>
        <row r="47">
          <cell r="B47" t="str">
            <v>HP - Retro</v>
          </cell>
        </row>
        <row r="48">
          <cell r="B48" t="str">
            <v>DHP - New</v>
          </cell>
          <cell r="C48">
            <v>0.02</v>
          </cell>
          <cell r="D48">
            <v>0</v>
          </cell>
          <cell r="E48">
            <v>0</v>
          </cell>
          <cell r="F48">
            <v>0</v>
          </cell>
        </row>
        <row r="49">
          <cell r="B49" t="str">
            <v>DHP - NR</v>
          </cell>
          <cell r="C49">
            <v>0.02</v>
          </cell>
          <cell r="D49">
            <v>0</v>
          </cell>
          <cell r="E49">
            <v>0</v>
          </cell>
          <cell r="F49">
            <v>0</v>
          </cell>
        </row>
        <row r="50">
          <cell r="B50" t="str">
            <v>DHP - Retro</v>
          </cell>
        </row>
        <row r="51">
          <cell r="B51" t="str">
            <v>Duct Sealing - New</v>
          </cell>
          <cell r="C51">
            <v>0.5480228071825386</v>
          </cell>
          <cell r="F51">
            <v>0.45838501752552641</v>
          </cell>
        </row>
        <row r="52">
          <cell r="B52" t="str">
            <v>Duct Sealing - Retro</v>
          </cell>
          <cell r="C52">
            <v>0.5480228071825386</v>
          </cell>
          <cell r="F52">
            <v>0.45838501752552641</v>
          </cell>
        </row>
        <row r="53">
          <cell r="B53" t="str">
            <v>WIFI enabled tstats - New</v>
          </cell>
          <cell r="C53">
            <v>0</v>
          </cell>
          <cell r="D53">
            <v>0</v>
          </cell>
          <cell r="E53">
            <v>0</v>
          </cell>
          <cell r="F53">
            <v>0</v>
          </cell>
        </row>
        <row r="54">
          <cell r="B54" t="str">
            <v>WIFI enabled tstats - Retro</v>
          </cell>
          <cell r="C54">
            <v>0.01</v>
          </cell>
          <cell r="D54">
            <v>0.01</v>
          </cell>
          <cell r="E54">
            <v>0.01</v>
          </cell>
          <cell r="F54">
            <v>0.01</v>
          </cell>
        </row>
        <row r="55">
          <cell r="B55" t="str">
            <v>Combo DHP/HPWH units - New</v>
          </cell>
        </row>
        <row r="56">
          <cell r="B56" t="str">
            <v>Combo DHP/HPWH units - NR</v>
          </cell>
        </row>
        <row r="57">
          <cell r="B57" t="str">
            <v>Combo DHP/HPWH units - Retro</v>
          </cell>
        </row>
        <row r="58">
          <cell r="B58" t="str">
            <v>Aerator - New</v>
          </cell>
          <cell r="C58">
            <v>0.65</v>
          </cell>
          <cell r="D58">
            <v>0.65</v>
          </cell>
          <cell r="E58">
            <v>0.65</v>
          </cell>
          <cell r="F58">
            <v>0.65</v>
          </cell>
        </row>
        <row r="59">
          <cell r="B59" t="str">
            <v>Aerator - Retro</v>
          </cell>
          <cell r="C59">
            <v>0.65</v>
          </cell>
          <cell r="D59">
            <v>0.65</v>
          </cell>
          <cell r="E59">
            <v>0.65</v>
          </cell>
          <cell r="F59">
            <v>0.65</v>
          </cell>
        </row>
        <row r="60">
          <cell r="B60" t="str">
            <v>Behavior - Retro</v>
          </cell>
          <cell r="C60">
            <v>0</v>
          </cell>
          <cell r="D60">
            <v>0</v>
          </cell>
          <cell r="E60">
            <v>0</v>
          </cell>
          <cell r="F60">
            <v>0</v>
          </cell>
        </row>
        <row r="61">
          <cell r="B61" t="str">
            <v>Behavior - New</v>
          </cell>
          <cell r="C61">
            <v>0</v>
          </cell>
          <cell r="D61">
            <v>0</v>
          </cell>
          <cell r="E61">
            <v>0</v>
          </cell>
          <cell r="F61">
            <v>0</v>
          </cell>
        </row>
        <row r="62">
          <cell r="B62">
            <v>0</v>
          </cell>
        </row>
        <row r="63">
          <cell r="B63" t="str">
            <v>Heat Recovery Ventilation - New</v>
          </cell>
          <cell r="C63">
            <v>0.01</v>
          </cell>
        </row>
        <row r="64">
          <cell r="B64" t="str">
            <v>GSHP - New</v>
          </cell>
          <cell r="C64">
            <v>0</v>
          </cell>
        </row>
        <row r="65">
          <cell r="B65" t="str">
            <v>GSHP - NR</v>
          </cell>
          <cell r="C65">
            <v>0</v>
          </cell>
        </row>
        <row r="66">
          <cell r="B66">
            <v>0</v>
          </cell>
        </row>
        <row r="67">
          <cell r="B67" t="str">
            <v>ECM for HVAC ventilation - New</v>
          </cell>
        </row>
        <row r="68">
          <cell r="B68" t="str">
            <v>ECM for HVAC ventilation - NR</v>
          </cell>
        </row>
        <row r="69">
          <cell r="B69" t="str">
            <v>Whole house/attic fan - New</v>
          </cell>
        </row>
        <row r="70">
          <cell r="B70" t="str">
            <v>Whole house/attic fan - Retro</v>
          </cell>
        </row>
        <row r="71">
          <cell r="B71" t="str">
            <v>WH Pipe insulation - Retro</v>
          </cell>
        </row>
        <row r="72">
          <cell r="B72" t="str">
            <v>DHP Ducted - NR</v>
          </cell>
          <cell r="C72">
            <v>0.01</v>
          </cell>
          <cell r="D72">
            <v>0</v>
          </cell>
          <cell r="E72">
            <v>0</v>
          </cell>
          <cell r="F72">
            <v>0.01</v>
          </cell>
        </row>
        <row r="73">
          <cell r="B73" t="str">
            <v>Advanced Power Strips - New</v>
          </cell>
          <cell r="C73">
            <v>0.01</v>
          </cell>
          <cell r="D73">
            <v>0.01</v>
          </cell>
          <cell r="E73">
            <v>0.01</v>
          </cell>
          <cell r="F73">
            <v>0.01</v>
          </cell>
        </row>
        <row r="74">
          <cell r="B74" t="str">
            <v>Advanced Power Strips - Retro</v>
          </cell>
          <cell r="C74">
            <v>0.01</v>
          </cell>
          <cell r="D74">
            <v>0.01</v>
          </cell>
          <cell r="E74">
            <v>0.01</v>
          </cell>
          <cell r="F74">
            <v>0.01</v>
          </cell>
        </row>
        <row r="75">
          <cell r="B75" t="str">
            <v>Controls Commissioning and Sizing - New</v>
          </cell>
          <cell r="C75">
            <v>0.05</v>
          </cell>
          <cell r="F75">
            <v>0.05</v>
          </cell>
        </row>
        <row r="76">
          <cell r="B76" t="str">
            <v>Controls Commissioning and Sizing - NR</v>
          </cell>
          <cell r="C76">
            <v>0.05</v>
          </cell>
          <cell r="F76">
            <v>0.05</v>
          </cell>
        </row>
        <row r="77">
          <cell r="B77" t="str">
            <v>ResWx - Retro</v>
          </cell>
        </row>
        <row r="78">
          <cell r="B78" t="str">
            <v>ATTIC R0 - R19 - Retro</v>
          </cell>
        </row>
        <row r="79">
          <cell r="B79" t="str">
            <v>ATTIC R0 - R22 - Retro</v>
          </cell>
          <cell r="F79">
            <v>0.98234576822530661</v>
          </cell>
        </row>
        <row r="80">
          <cell r="B80" t="str">
            <v>ATTIC R0 - R30 - Retro</v>
          </cell>
          <cell r="F80">
            <v>0.94629090512719527</v>
          </cell>
        </row>
        <row r="81">
          <cell r="B81" t="str">
            <v>ATTIC R0 - R38 - Retro</v>
          </cell>
          <cell r="C81">
            <v>0.90582363255140952</v>
          </cell>
          <cell r="D81">
            <v>0.77400000000000002</v>
          </cell>
        </row>
        <row r="82">
          <cell r="B82" t="str">
            <v>ATTIC R0 - R49 - Retro</v>
          </cell>
          <cell r="C82">
            <v>0.90582363255140952</v>
          </cell>
          <cell r="D82">
            <v>0.77400000000000002</v>
          </cell>
        </row>
        <row r="83">
          <cell r="B83" t="str">
            <v>ATTIC R11 - R30 - Retro</v>
          </cell>
          <cell r="F83">
            <v>0.99894666949290001</v>
          </cell>
        </row>
        <row r="84">
          <cell r="B84" t="str">
            <v>ATTIC R11 - R38 - Retro</v>
          </cell>
          <cell r="C84">
            <v>0.85745904032781306</v>
          </cell>
        </row>
        <row r="85">
          <cell r="B85" t="str">
            <v>ATTIC R11 - R49 - Retro</v>
          </cell>
          <cell r="C85">
            <v>0.85745904032781306</v>
          </cell>
        </row>
        <row r="86">
          <cell r="B86" t="str">
            <v>ATTIC R19 - R30 - Retro</v>
          </cell>
          <cell r="D86">
            <v>0.70700000000000007</v>
          </cell>
        </row>
        <row r="87">
          <cell r="B87" t="str">
            <v>ATTIC R19 - R38 - Retro</v>
          </cell>
          <cell r="C87">
            <v>0.8235906407599296</v>
          </cell>
          <cell r="D87">
            <v>0.70700000000000007</v>
          </cell>
        </row>
        <row r="88">
          <cell r="B88" t="str">
            <v>ATTIC R19 - R49 - Retro</v>
          </cell>
          <cell r="C88">
            <v>0.8235906407599296</v>
          </cell>
          <cell r="D88">
            <v>0.70700000000000007</v>
          </cell>
        </row>
        <row r="89">
          <cell r="B89" t="str">
            <v>WALL R0 - R11 - Retro</v>
          </cell>
          <cell r="C89">
            <v>0.9153244542011717</v>
          </cell>
          <cell r="D89">
            <v>0.91300000000000003</v>
          </cell>
        </row>
        <row r="90">
          <cell r="B90" t="str">
            <v>FLOOR R0 - R19 - Retro</v>
          </cell>
          <cell r="C90">
            <v>0.77054029401358659</v>
          </cell>
          <cell r="D90">
            <v>0.74099999999999999</v>
          </cell>
        </row>
        <row r="91">
          <cell r="B91" t="str">
            <v>FLOOR R0 - R22 - Retro</v>
          </cell>
          <cell r="F91">
            <v>0.98933475247267177</v>
          </cell>
        </row>
        <row r="92">
          <cell r="B92" t="str">
            <v>FLOOR R0 - R25 - Retro</v>
          </cell>
          <cell r="C92">
            <v>0.77054029401358659</v>
          </cell>
        </row>
        <row r="93">
          <cell r="B93" t="str">
            <v>FLOOR R0 - R30 - Retro</v>
          </cell>
          <cell r="C93">
            <v>0.77054029401358659</v>
          </cell>
          <cell r="D93">
            <v>0.74099999999999999</v>
          </cell>
        </row>
        <row r="94">
          <cell r="B94" t="str">
            <v>FLOOR R11 - R22 - Retro</v>
          </cell>
          <cell r="F94">
            <v>0.98376579376328033</v>
          </cell>
        </row>
        <row r="95">
          <cell r="B95" t="str">
            <v>WINDOW CL30 Prime Window Replacement of Single Pane Base - Retro</v>
          </cell>
          <cell r="C95">
            <v>0.95569674867310761</v>
          </cell>
          <cell r="D95">
            <v>0.84052050568853631</v>
          </cell>
          <cell r="F95">
            <v>0.98290327051721382</v>
          </cell>
        </row>
        <row r="96">
          <cell r="B96" t="str">
            <v>WINDOW CL30 Prime Window Replacement of Double Pane Base - Retro</v>
          </cell>
          <cell r="C96">
            <v>7.1991309673075765E-2</v>
          </cell>
          <cell r="D96">
            <v>0.17129805649810181</v>
          </cell>
          <cell r="F96">
            <v>0.99913039998781261</v>
          </cell>
        </row>
        <row r="97">
          <cell r="B97" t="str">
            <v>WINDOW CL22 Prime Window Replacement of Single Pane Base - Retro</v>
          </cell>
          <cell r="C97">
            <v>0.95569674867310761</v>
          </cell>
          <cell r="D97">
            <v>0.84052050568853631</v>
          </cell>
          <cell r="F97">
            <v>0.98290327051721382</v>
          </cell>
        </row>
        <row r="98">
          <cell r="B98" t="str">
            <v>WINDOW CL22 Prime Window Replacement of Double Pane Base - Retro</v>
          </cell>
          <cell r="C98">
            <v>7.1991309673075765E-2</v>
          </cell>
          <cell r="D98">
            <v>0.17129805649810181</v>
          </cell>
          <cell r="F98">
            <v>0.99913039998781261</v>
          </cell>
        </row>
        <row r="99">
          <cell r="B99" t="str">
            <v>CFM50 Infiltration Reduction - Retro</v>
          </cell>
          <cell r="C99">
            <v>0.3021611294127764</v>
          </cell>
          <cell r="F99">
            <v>0.91633344981828857</v>
          </cell>
        </row>
      </sheetData>
      <sheetData sheetId="7">
        <row r="8">
          <cell r="B8" t="str">
            <v>Single Family</v>
          </cell>
          <cell r="C8" t="str">
            <v>Multifamily - Low Rise</v>
          </cell>
          <cell r="D8" t="str">
            <v>Multifamily - High Rise</v>
          </cell>
          <cell r="E8" t="str">
            <v>Manufactured</v>
          </cell>
          <cell r="F8" t="str">
            <v>Non-Building Stock</v>
          </cell>
        </row>
        <row r="9">
          <cell r="B9" t="str">
            <v>Post2016</v>
          </cell>
          <cell r="C9" t="str">
            <v>Post2016</v>
          </cell>
          <cell r="D9" t="str">
            <v>Post2016</v>
          </cell>
          <cell r="E9" t="str">
            <v>Post2016</v>
          </cell>
          <cell r="F9" t="str">
            <v>Post2016</v>
          </cell>
        </row>
        <row r="10">
          <cell r="B10" t="str">
            <v>Pre2016</v>
          </cell>
          <cell r="C10" t="str">
            <v>Pre2016</v>
          </cell>
          <cell r="D10" t="str">
            <v>Pre2016</v>
          </cell>
          <cell r="E10" t="str">
            <v>Pre2016</v>
          </cell>
          <cell r="F10" t="str">
            <v>Pre2016</v>
          </cell>
        </row>
        <row r="11">
          <cell r="B11" t="str">
            <v>Pre2016</v>
          </cell>
          <cell r="C11" t="str">
            <v>Pre2016</v>
          </cell>
          <cell r="D11" t="str">
            <v>Pre2016</v>
          </cell>
          <cell r="E11" t="str">
            <v>Pre2016</v>
          </cell>
          <cell r="F11" t="str">
            <v>Pre2016</v>
          </cell>
        </row>
        <row r="12">
          <cell r="B12" t="str">
            <v>Post2016</v>
          </cell>
          <cell r="C12" t="str">
            <v>Post2016</v>
          </cell>
          <cell r="D12" t="str">
            <v>Post2016</v>
          </cell>
          <cell r="E12" t="str">
            <v>Post2016</v>
          </cell>
          <cell r="F12" t="str">
            <v>Post2016</v>
          </cell>
        </row>
        <row r="13">
          <cell r="B13" t="str">
            <v>Pre2016</v>
          </cell>
          <cell r="C13" t="str">
            <v>Pre2016</v>
          </cell>
          <cell r="D13" t="str">
            <v>Pre2016</v>
          </cell>
          <cell r="E13" t="str">
            <v>Pre2016</v>
          </cell>
          <cell r="F13" t="str">
            <v>Pre2016</v>
          </cell>
        </row>
        <row r="14">
          <cell r="B14" t="str">
            <v>Post2016</v>
          </cell>
          <cell r="C14" t="str">
            <v>Post2016</v>
          </cell>
          <cell r="D14" t="str">
            <v>Post2016</v>
          </cell>
          <cell r="E14" t="str">
            <v>Post2016</v>
          </cell>
          <cell r="F14" t="str">
            <v>Post2016</v>
          </cell>
        </row>
        <row r="15">
          <cell r="B15" t="str">
            <v>Pre2016</v>
          </cell>
          <cell r="C15" t="str">
            <v>Pre2016</v>
          </cell>
          <cell r="D15" t="str">
            <v>Pre2016</v>
          </cell>
          <cell r="E15" t="str">
            <v>Pre2016</v>
          </cell>
          <cell r="F15" t="str">
            <v>Pre2016</v>
          </cell>
        </row>
        <row r="16">
          <cell r="B16" t="str">
            <v>Post2016</v>
          </cell>
          <cell r="C16" t="str">
            <v>Post2016</v>
          </cell>
          <cell r="D16" t="str">
            <v>Post2016</v>
          </cell>
          <cell r="E16" t="str">
            <v>Post2016</v>
          </cell>
          <cell r="F16" t="str">
            <v>Post2016</v>
          </cell>
        </row>
        <row r="17">
          <cell r="B17" t="str">
            <v>Post2016</v>
          </cell>
          <cell r="C17" t="str">
            <v>Post2016</v>
          </cell>
          <cell r="D17" t="str">
            <v>Post2016</v>
          </cell>
          <cell r="E17" t="str">
            <v>Post2016</v>
          </cell>
          <cell r="F17" t="str">
            <v>Post2016</v>
          </cell>
        </row>
        <row r="18">
          <cell r="B18" t="str">
            <v>Pre2016</v>
          </cell>
          <cell r="C18" t="str">
            <v>Pre2016</v>
          </cell>
          <cell r="D18" t="str">
            <v>Pre2016</v>
          </cell>
          <cell r="E18" t="str">
            <v>Pre2016</v>
          </cell>
          <cell r="F18" t="str">
            <v>Pre2016</v>
          </cell>
        </row>
        <row r="19">
          <cell r="B19" t="str">
            <v>Post2016</v>
          </cell>
          <cell r="C19" t="str">
            <v>Post2016</v>
          </cell>
          <cell r="D19" t="str">
            <v>Post2016</v>
          </cell>
          <cell r="E19" t="str">
            <v>Post2016</v>
          </cell>
          <cell r="F19" t="str">
            <v>Post2016</v>
          </cell>
        </row>
        <row r="20">
          <cell r="B20" t="str">
            <v>Pre2016</v>
          </cell>
          <cell r="C20" t="str">
            <v>Pre2016</v>
          </cell>
          <cell r="D20" t="str">
            <v>Pre2016</v>
          </cell>
          <cell r="E20" t="str">
            <v>Pre2016</v>
          </cell>
          <cell r="F20" t="str">
            <v>Pre2016</v>
          </cell>
        </row>
        <row r="21">
          <cell r="B21" t="str">
            <v>Pre2016</v>
          </cell>
          <cell r="C21" t="str">
            <v>Pre2016</v>
          </cell>
          <cell r="D21" t="str">
            <v>Pre2016</v>
          </cell>
          <cell r="E21" t="str">
            <v>Pre2016</v>
          </cell>
          <cell r="F21" t="str">
            <v>Pre2016</v>
          </cell>
        </row>
        <row r="22">
          <cell r="B22" t="str">
            <v>Post2016</v>
          </cell>
          <cell r="C22" t="str">
            <v>Post2016</v>
          </cell>
          <cell r="D22" t="str">
            <v>Post2016</v>
          </cell>
          <cell r="E22" t="str">
            <v>Post2016</v>
          </cell>
          <cell r="F22" t="str">
            <v>Post2016</v>
          </cell>
        </row>
        <row r="23">
          <cell r="B23" t="str">
            <v>Pre2016</v>
          </cell>
          <cell r="C23" t="str">
            <v>Pre2016</v>
          </cell>
          <cell r="D23" t="str">
            <v>Pre2016</v>
          </cell>
          <cell r="E23" t="str">
            <v>Pre2016</v>
          </cell>
          <cell r="F23" t="str">
            <v>Pre2016</v>
          </cell>
        </row>
        <row r="24">
          <cell r="B24" t="str">
            <v>Post2016</v>
          </cell>
          <cell r="C24" t="str">
            <v>Post2016</v>
          </cell>
          <cell r="D24" t="str">
            <v>Post2016</v>
          </cell>
          <cell r="E24" t="str">
            <v>Post2016</v>
          </cell>
          <cell r="F24" t="str">
            <v>Post2016</v>
          </cell>
        </row>
        <row r="25">
          <cell r="B25" t="str">
            <v>Pre2016</v>
          </cell>
          <cell r="C25" t="str">
            <v>Pre2016</v>
          </cell>
          <cell r="D25" t="str">
            <v>Pre2016</v>
          </cell>
          <cell r="E25" t="str">
            <v>Pre2016</v>
          </cell>
          <cell r="F25" t="str">
            <v>Pre2016</v>
          </cell>
        </row>
        <row r="26">
          <cell r="B26" t="str">
            <v>Post2016</v>
          </cell>
          <cell r="C26" t="str">
            <v>Post2016</v>
          </cell>
          <cell r="D26" t="str">
            <v>Post2016</v>
          </cell>
          <cell r="E26" t="str">
            <v>Post2016</v>
          </cell>
          <cell r="F26" t="str">
            <v>Post2016</v>
          </cell>
        </row>
        <row r="27">
          <cell r="B27" t="str">
            <v>Pre2016</v>
          </cell>
          <cell r="C27" t="str">
            <v>Pre2016</v>
          </cell>
          <cell r="D27" t="str">
            <v>Pre2016</v>
          </cell>
          <cell r="E27" t="str">
            <v>Pre2016</v>
          </cell>
          <cell r="F27" t="str">
            <v>Pre2016</v>
          </cell>
        </row>
        <row r="28">
          <cell r="B28" t="str">
            <v>Post2016</v>
          </cell>
          <cell r="C28" t="str">
            <v>Post2016</v>
          </cell>
          <cell r="D28" t="str">
            <v>Post2016</v>
          </cell>
          <cell r="E28" t="str">
            <v>Post2016</v>
          </cell>
          <cell r="F28" t="str">
            <v>Post2016</v>
          </cell>
        </row>
        <row r="29">
          <cell r="B29" t="str">
            <v>Pre2016</v>
          </cell>
          <cell r="C29" t="str">
            <v>Pre2016</v>
          </cell>
          <cell r="D29" t="str">
            <v>Pre2016</v>
          </cell>
          <cell r="E29" t="str">
            <v>Pre2016</v>
          </cell>
          <cell r="F29" t="str">
            <v>Pre2016</v>
          </cell>
        </row>
        <row r="30">
          <cell r="B30" t="str">
            <v>Pre2016</v>
          </cell>
          <cell r="C30" t="str">
            <v>Pre2016</v>
          </cell>
          <cell r="D30" t="str">
            <v>Pre2016</v>
          </cell>
          <cell r="E30" t="str">
            <v>Pre2016</v>
          </cell>
          <cell r="F30" t="str">
            <v>Pre2016</v>
          </cell>
        </row>
        <row r="31">
          <cell r="B31" t="str">
            <v>Pre2016</v>
          </cell>
          <cell r="C31" t="str">
            <v>Pre2016</v>
          </cell>
          <cell r="D31" t="str">
            <v>Pre2016</v>
          </cell>
          <cell r="E31" t="str">
            <v>Pre2016</v>
          </cell>
          <cell r="F31" t="str">
            <v>Pre2016</v>
          </cell>
        </row>
        <row r="32">
          <cell r="B32" t="str">
            <v>Pre2016</v>
          </cell>
          <cell r="C32" t="str">
            <v>Pre2016</v>
          </cell>
          <cell r="D32" t="str">
            <v>Pre2016</v>
          </cell>
          <cell r="E32" t="str">
            <v>Pre2016</v>
          </cell>
          <cell r="F32" t="str">
            <v>Pre2016</v>
          </cell>
        </row>
        <row r="33">
          <cell r="B33" t="str">
            <v>Post2016</v>
          </cell>
          <cell r="C33" t="str">
            <v>Post2016</v>
          </cell>
          <cell r="D33" t="str">
            <v>Post2016</v>
          </cell>
          <cell r="E33" t="str">
            <v>Post2016</v>
          </cell>
          <cell r="F33" t="str">
            <v>Post2016</v>
          </cell>
        </row>
        <row r="34">
          <cell r="B34" t="str">
            <v>Pre2016</v>
          </cell>
          <cell r="C34" t="str">
            <v>Pre2016</v>
          </cell>
          <cell r="D34" t="str">
            <v>Pre2016</v>
          </cell>
          <cell r="E34" t="str">
            <v>Pre2016</v>
          </cell>
          <cell r="F34" t="str">
            <v>Pre2016</v>
          </cell>
        </row>
        <row r="35">
          <cell r="B35" t="str">
            <v>Post2016</v>
          </cell>
          <cell r="C35" t="str">
            <v>Post2016</v>
          </cell>
          <cell r="D35" t="str">
            <v>Post2016</v>
          </cell>
          <cell r="E35" t="str">
            <v>Post2016</v>
          </cell>
          <cell r="F35" t="str">
            <v>Post2016</v>
          </cell>
        </row>
        <row r="36">
          <cell r="B36" t="str">
            <v>Pre2016</v>
          </cell>
          <cell r="C36" t="str">
            <v>Pre2016</v>
          </cell>
          <cell r="D36" t="str">
            <v>Pre2016</v>
          </cell>
          <cell r="E36" t="str">
            <v>Pre2016</v>
          </cell>
          <cell r="F36" t="str">
            <v>Pre2016</v>
          </cell>
        </row>
        <row r="37">
          <cell r="B37" t="str">
            <v>Post2016</v>
          </cell>
          <cell r="C37" t="str">
            <v>Post2016</v>
          </cell>
          <cell r="D37" t="str">
            <v>Post2016</v>
          </cell>
          <cell r="E37" t="str">
            <v>Post2016</v>
          </cell>
          <cell r="F37" t="str">
            <v>Post2016</v>
          </cell>
        </row>
        <row r="38">
          <cell r="B38" t="str">
            <v>Pre2016</v>
          </cell>
          <cell r="C38" t="str">
            <v>Pre2016</v>
          </cell>
          <cell r="D38" t="str">
            <v>Pre2016</v>
          </cell>
          <cell r="E38" t="str">
            <v>Pre2016</v>
          </cell>
          <cell r="F38" t="str">
            <v>Pre2016</v>
          </cell>
        </row>
        <row r="39">
          <cell r="B39" t="str">
            <v>Post2016</v>
          </cell>
          <cell r="C39" t="str">
            <v>Post2016</v>
          </cell>
          <cell r="D39" t="str">
            <v>Post2016</v>
          </cell>
          <cell r="E39" t="str">
            <v>Post2016</v>
          </cell>
          <cell r="F39" t="str">
            <v>Post2016</v>
          </cell>
        </row>
        <row r="40">
          <cell r="B40" t="str">
            <v>Pre2016</v>
          </cell>
          <cell r="C40" t="str">
            <v>Pre2016</v>
          </cell>
          <cell r="D40" t="str">
            <v>Pre2016</v>
          </cell>
          <cell r="E40" t="str">
            <v>Pre2016</v>
          </cell>
          <cell r="F40" t="str">
            <v>Pre2016</v>
          </cell>
        </row>
        <row r="41">
          <cell r="B41" t="str">
            <v>Post2016</v>
          </cell>
          <cell r="C41" t="str">
            <v>Post2016</v>
          </cell>
          <cell r="D41" t="str">
            <v>Post2016</v>
          </cell>
          <cell r="E41" t="str">
            <v>Post2016</v>
          </cell>
          <cell r="F41" t="str">
            <v>Post2016</v>
          </cell>
        </row>
        <row r="42">
          <cell r="B42" t="str">
            <v>Pre2016</v>
          </cell>
          <cell r="C42" t="str">
            <v>Pre2016</v>
          </cell>
          <cell r="D42" t="str">
            <v>Pre2016</v>
          </cell>
          <cell r="E42" t="str">
            <v>Pre2016</v>
          </cell>
          <cell r="F42" t="str">
            <v>Pre2016</v>
          </cell>
        </row>
        <row r="43">
          <cell r="B43" t="str">
            <v>Post2016</v>
          </cell>
          <cell r="C43" t="str">
            <v>Post2016</v>
          </cell>
          <cell r="D43" t="str">
            <v>Post2016</v>
          </cell>
          <cell r="E43" t="str">
            <v>Post2016</v>
          </cell>
          <cell r="F43" t="str">
            <v>Post2016</v>
          </cell>
        </row>
        <row r="44">
          <cell r="B44" t="str">
            <v>Pre2016</v>
          </cell>
          <cell r="C44" t="str">
            <v>Pre2016</v>
          </cell>
          <cell r="D44" t="str">
            <v>Pre2016</v>
          </cell>
          <cell r="E44" t="str">
            <v>Pre2016</v>
          </cell>
          <cell r="F44" t="str">
            <v>Pre2016</v>
          </cell>
        </row>
        <row r="45">
          <cell r="B45" t="str">
            <v>Post2016</v>
          </cell>
          <cell r="C45" t="str">
            <v>Post2016</v>
          </cell>
          <cell r="D45" t="str">
            <v>Post2016</v>
          </cell>
          <cell r="E45" t="str">
            <v>Post2016</v>
          </cell>
          <cell r="F45" t="str">
            <v>Post2016</v>
          </cell>
        </row>
        <row r="46">
          <cell r="B46" t="str">
            <v>Pre2016</v>
          </cell>
          <cell r="C46" t="str">
            <v>Pre2016</v>
          </cell>
          <cell r="D46" t="str">
            <v>Pre2016</v>
          </cell>
          <cell r="E46" t="str">
            <v>Pre2016</v>
          </cell>
          <cell r="F46" t="str">
            <v>Pre2016</v>
          </cell>
        </row>
        <row r="47">
          <cell r="B47" t="str">
            <v>Pre2016</v>
          </cell>
          <cell r="C47" t="str">
            <v>Pre2016</v>
          </cell>
          <cell r="D47" t="str">
            <v>Pre2016</v>
          </cell>
          <cell r="E47" t="str">
            <v>Pre2016</v>
          </cell>
          <cell r="F47" t="str">
            <v>Pre2016</v>
          </cell>
        </row>
        <row r="48">
          <cell r="B48" t="str">
            <v>Post2016</v>
          </cell>
          <cell r="C48" t="str">
            <v>Post2016</v>
          </cell>
          <cell r="D48" t="str">
            <v>Post2016</v>
          </cell>
          <cell r="E48" t="str">
            <v>Post2016</v>
          </cell>
          <cell r="F48" t="str">
            <v>Post2016</v>
          </cell>
        </row>
        <row r="49">
          <cell r="B49" t="str">
            <v>Pre2016</v>
          </cell>
          <cell r="C49" t="str">
            <v>Pre2016</v>
          </cell>
          <cell r="D49" t="str">
            <v>Pre2016</v>
          </cell>
          <cell r="E49" t="str">
            <v>Pre2016</v>
          </cell>
          <cell r="F49" t="str">
            <v>Pre2016</v>
          </cell>
        </row>
        <row r="50">
          <cell r="B50" t="str">
            <v>Pre2016</v>
          </cell>
          <cell r="C50" t="str">
            <v>Pre2016</v>
          </cell>
          <cell r="D50" t="str">
            <v>Pre2016</v>
          </cell>
          <cell r="E50" t="str">
            <v>Pre2016</v>
          </cell>
          <cell r="F50" t="str">
            <v>Pre2016</v>
          </cell>
        </row>
        <row r="51">
          <cell r="B51" t="str">
            <v>Post2016</v>
          </cell>
          <cell r="C51" t="str">
            <v>Post2016</v>
          </cell>
          <cell r="D51" t="str">
            <v>Post2016</v>
          </cell>
          <cell r="E51" t="str">
            <v>Post2016</v>
          </cell>
          <cell r="F51" t="str">
            <v>Post2016</v>
          </cell>
        </row>
        <row r="52">
          <cell r="B52" t="str">
            <v>Pre2016</v>
          </cell>
          <cell r="C52" t="str">
            <v>Pre2016</v>
          </cell>
          <cell r="D52" t="str">
            <v>Pre2016</v>
          </cell>
          <cell r="E52" t="str">
            <v>Pre2016</v>
          </cell>
          <cell r="F52" t="str">
            <v>Pre2016</v>
          </cell>
        </row>
        <row r="53">
          <cell r="B53" t="str">
            <v>Post2016</v>
          </cell>
          <cell r="C53" t="str">
            <v>Post2016</v>
          </cell>
          <cell r="D53" t="str">
            <v>Post2016</v>
          </cell>
          <cell r="E53" t="str">
            <v>Post2016</v>
          </cell>
          <cell r="F53" t="str">
            <v>Post2016</v>
          </cell>
        </row>
        <row r="54">
          <cell r="B54" t="str">
            <v>Pre2016</v>
          </cell>
          <cell r="C54" t="str">
            <v>Pre2016</v>
          </cell>
          <cell r="D54" t="str">
            <v>Pre2016</v>
          </cell>
          <cell r="E54" t="str">
            <v>Pre2016</v>
          </cell>
          <cell r="F54" t="str">
            <v>Pre2016</v>
          </cell>
        </row>
        <row r="55">
          <cell r="B55" t="str">
            <v>Post2016</v>
          </cell>
          <cell r="C55" t="str">
            <v>Post2016</v>
          </cell>
          <cell r="D55" t="str">
            <v>Post2016</v>
          </cell>
          <cell r="E55" t="str">
            <v>Post2016</v>
          </cell>
          <cell r="F55" t="str">
            <v>Post2016</v>
          </cell>
        </row>
        <row r="56">
          <cell r="B56" t="str">
            <v>Pre2016</v>
          </cell>
          <cell r="C56" t="str">
            <v>Pre2016</v>
          </cell>
          <cell r="D56" t="str">
            <v>Pre2016</v>
          </cell>
          <cell r="E56" t="str">
            <v>Pre2016</v>
          </cell>
          <cell r="F56" t="str">
            <v>Pre2016</v>
          </cell>
        </row>
        <row r="57">
          <cell r="B57" t="str">
            <v>Pre2016</v>
          </cell>
          <cell r="C57" t="str">
            <v>Pre2016</v>
          </cell>
          <cell r="D57" t="str">
            <v>Pre2016</v>
          </cell>
          <cell r="E57" t="str">
            <v>Pre2016</v>
          </cell>
          <cell r="F57" t="str">
            <v>Pre2016</v>
          </cell>
        </row>
        <row r="58">
          <cell r="B58" t="str">
            <v>Post2016</v>
          </cell>
          <cell r="C58" t="str">
            <v>Post2016</v>
          </cell>
          <cell r="D58" t="str">
            <v>Post2016</v>
          </cell>
          <cell r="E58" t="str">
            <v>Post2016</v>
          </cell>
          <cell r="F58" t="str">
            <v>Post2016</v>
          </cell>
        </row>
        <row r="59">
          <cell r="B59" t="str">
            <v>Pre2016</v>
          </cell>
          <cell r="C59" t="str">
            <v>Pre2016</v>
          </cell>
          <cell r="D59" t="str">
            <v>Pre2016</v>
          </cell>
          <cell r="E59" t="str">
            <v>Pre2016</v>
          </cell>
          <cell r="F59" t="str">
            <v>Pre2016</v>
          </cell>
        </row>
        <row r="60">
          <cell r="B60" t="str">
            <v>Pre2016</v>
          </cell>
          <cell r="C60" t="str">
            <v>Pre2016</v>
          </cell>
          <cell r="D60" t="str">
            <v>Pre2016</v>
          </cell>
          <cell r="E60" t="str">
            <v>Pre2016</v>
          </cell>
          <cell r="F60" t="str">
            <v>Pre2016</v>
          </cell>
        </row>
        <row r="61">
          <cell r="B61" t="str">
            <v>Post2016</v>
          </cell>
          <cell r="C61" t="str">
            <v>Post2016</v>
          </cell>
          <cell r="D61" t="str">
            <v>Post2016</v>
          </cell>
          <cell r="E61" t="str">
            <v>Post2016</v>
          </cell>
          <cell r="F61" t="str">
            <v>Post2016</v>
          </cell>
        </row>
        <row r="62">
          <cell r="B62" t="str">
            <v>Pre2016</v>
          </cell>
          <cell r="C62" t="str">
            <v>Pre2016</v>
          </cell>
          <cell r="D62" t="str">
            <v>Pre2016</v>
          </cell>
          <cell r="E62" t="str">
            <v>Pre2016</v>
          </cell>
          <cell r="F62" t="str">
            <v>Pre2016</v>
          </cell>
        </row>
        <row r="63">
          <cell r="B63" t="str">
            <v>Post2016</v>
          </cell>
          <cell r="C63" t="str">
            <v>Post2016</v>
          </cell>
          <cell r="D63" t="str">
            <v>Post2016</v>
          </cell>
          <cell r="E63" t="str">
            <v>Post2016</v>
          </cell>
          <cell r="F63" t="str">
            <v>Post2016</v>
          </cell>
        </row>
        <row r="64">
          <cell r="B64" t="str">
            <v>Post2016</v>
          </cell>
          <cell r="C64" t="str">
            <v>Post2016</v>
          </cell>
          <cell r="D64" t="str">
            <v>Post2016</v>
          </cell>
          <cell r="E64" t="str">
            <v>Post2016</v>
          </cell>
          <cell r="F64" t="str">
            <v>Post2016</v>
          </cell>
        </row>
        <row r="65">
          <cell r="B65" t="str">
            <v>Pre2016</v>
          </cell>
          <cell r="C65" t="str">
            <v>Pre2016</v>
          </cell>
          <cell r="D65" t="str">
            <v>Pre2016</v>
          </cell>
          <cell r="E65" t="str">
            <v>Pre2016</v>
          </cell>
          <cell r="F65" t="str">
            <v>Pre2016</v>
          </cell>
        </row>
        <row r="66">
          <cell r="B66" t="str">
            <v>Pre2016</v>
          </cell>
          <cell r="C66" t="str">
            <v>Pre2016</v>
          </cell>
          <cell r="D66" t="str">
            <v>Pre2016</v>
          </cell>
          <cell r="E66" t="str">
            <v>Pre2016</v>
          </cell>
          <cell r="F66" t="str">
            <v>Pre2016</v>
          </cell>
        </row>
        <row r="67">
          <cell r="B67" t="str">
            <v>Post2016</v>
          </cell>
          <cell r="C67" t="str">
            <v>Post2016</v>
          </cell>
          <cell r="D67" t="str">
            <v>Post2016</v>
          </cell>
          <cell r="E67" t="str">
            <v>Post2016</v>
          </cell>
          <cell r="F67" t="str">
            <v>Post2016</v>
          </cell>
        </row>
        <row r="68">
          <cell r="B68" t="str">
            <v>Pre2016</v>
          </cell>
          <cell r="C68" t="str">
            <v>Pre2016</v>
          </cell>
          <cell r="D68" t="str">
            <v>Pre2016</v>
          </cell>
          <cell r="E68" t="str">
            <v>Pre2016</v>
          </cell>
          <cell r="F68" t="str">
            <v>Pre2016</v>
          </cell>
        </row>
        <row r="69">
          <cell r="B69" t="str">
            <v>Post2016</v>
          </cell>
          <cell r="C69" t="str">
            <v>Post2016</v>
          </cell>
          <cell r="D69" t="str">
            <v>Post2016</v>
          </cell>
          <cell r="E69" t="str">
            <v>Post2016</v>
          </cell>
          <cell r="F69" t="str">
            <v>Post2016</v>
          </cell>
        </row>
        <row r="70">
          <cell r="B70" t="str">
            <v>Pre2016</v>
          </cell>
          <cell r="C70" t="str">
            <v>Pre2016</v>
          </cell>
          <cell r="D70" t="str">
            <v>Pre2016</v>
          </cell>
          <cell r="E70" t="str">
            <v>Pre2016</v>
          </cell>
          <cell r="F70" t="str">
            <v>Pre2016</v>
          </cell>
        </row>
        <row r="71">
          <cell r="B71" t="str">
            <v>Pre2016</v>
          </cell>
          <cell r="C71" t="str">
            <v>Pre2016</v>
          </cell>
          <cell r="D71" t="str">
            <v>Pre2016</v>
          </cell>
          <cell r="E71" t="str">
            <v>Pre2016</v>
          </cell>
          <cell r="F71" t="str">
            <v>Pre2016</v>
          </cell>
        </row>
        <row r="72">
          <cell r="B72" t="str">
            <v>Pre2016</v>
          </cell>
          <cell r="C72" t="str">
            <v>Pre2016</v>
          </cell>
          <cell r="D72" t="str">
            <v>Pre2016</v>
          </cell>
          <cell r="E72" t="str">
            <v>Pre2016</v>
          </cell>
          <cell r="F72" t="str">
            <v>Pre2016</v>
          </cell>
        </row>
        <row r="73">
          <cell r="B73" t="str">
            <v>Post2016</v>
          </cell>
          <cell r="C73" t="str">
            <v>Post2016</v>
          </cell>
          <cell r="D73" t="str">
            <v>Post2016</v>
          </cell>
          <cell r="E73" t="str">
            <v>Post2016</v>
          </cell>
          <cell r="F73" t="str">
            <v>Post2016</v>
          </cell>
        </row>
        <row r="74">
          <cell r="B74" t="str">
            <v>Pre2016</v>
          </cell>
          <cell r="C74" t="str">
            <v>Pre2016</v>
          </cell>
          <cell r="D74" t="str">
            <v>Pre2016</v>
          </cell>
          <cell r="E74" t="str">
            <v>Pre2016</v>
          </cell>
          <cell r="F74" t="str">
            <v>Pre2016</v>
          </cell>
        </row>
        <row r="77">
          <cell r="B77" t="str">
            <v>Pre2016</v>
          </cell>
          <cell r="C77" t="str">
            <v>Pre2016</v>
          </cell>
          <cell r="D77" t="str">
            <v>Pre2016</v>
          </cell>
          <cell r="E77" t="str">
            <v>Pre2016</v>
          </cell>
          <cell r="F77" t="str">
            <v>Pre2016</v>
          </cell>
        </row>
      </sheetData>
      <sheetData sheetId="8">
        <row r="8">
          <cell r="B8" t="str">
            <v>Measure Index Name</v>
          </cell>
          <cell r="C8" t="str">
            <v>Single Family</v>
          </cell>
          <cell r="D8" t="str">
            <v>Multifamily - Low Rise</v>
          </cell>
          <cell r="E8" t="str">
            <v>Multifamily - High Rise</v>
          </cell>
          <cell r="F8" t="str">
            <v>Manufactured</v>
          </cell>
        </row>
        <row r="9">
          <cell r="B9" t="str">
            <v>Lighting - New</v>
          </cell>
          <cell r="C9">
            <v>1</v>
          </cell>
          <cell r="D9">
            <v>1</v>
          </cell>
          <cell r="E9">
            <v>1</v>
          </cell>
          <cell r="F9">
            <v>1</v>
          </cell>
        </row>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sheetData>
      <sheetData sheetId="9">
        <row r="8">
          <cell r="C8" t="str">
            <v>LO3Slow</v>
          </cell>
          <cell r="D8">
            <v>5.5320496977002724E-3</v>
          </cell>
          <cell r="E8">
            <v>1.4227918344261844E-2</v>
          </cell>
          <cell r="F8">
            <v>3.1619655637384989E-2</v>
          </cell>
        </row>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HVAC</v>
          </cell>
          <cell r="B80" t="str">
            <v>ECM for HVAC ventilation - NR</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HVAC</v>
          </cell>
          <cell r="B81" t="str">
            <v>Whole house/attic fan - New</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HVAC</v>
          </cell>
          <cell r="B82" t="str">
            <v>Whole house/attic fan - Retro</v>
          </cell>
          <cell r="C82" t="str">
            <v>Retro12Med</v>
          </cell>
          <cell r="D82">
            <v>0.10937459468255628</v>
          </cell>
          <cell r="E82">
            <v>0.10937459468255628</v>
          </cell>
          <cell r="F82">
            <v>0.10937459468255628</v>
          </cell>
          <cell r="G82">
            <v>0.10937459468255628</v>
          </cell>
          <cell r="H82">
            <v>0.10937459468255628</v>
          </cell>
          <cell r="I82">
            <v>9.8437135214300656E-2</v>
          </cell>
          <cell r="J82">
            <v>7.874970817144053E-2</v>
          </cell>
          <cell r="K82">
            <v>6.2999766537152418E-2</v>
          </cell>
          <cell r="L82">
            <v>5.0399813229721938E-2</v>
          </cell>
          <cell r="M82">
            <v>4.0319850583777551E-2</v>
          </cell>
          <cell r="N82">
            <v>3.225588046702204E-2</v>
          </cell>
          <cell r="O82">
            <v>2.5804704373617631E-2</v>
          </cell>
          <cell r="P82">
            <v>2.0643763498894106E-2</v>
          </cell>
          <cell r="Q82">
            <v>1.6515010799115284E-2</v>
          </cell>
          <cell r="R82">
            <v>1.3212008639292228E-2</v>
          </cell>
          <cell r="S82">
            <v>1.0569606911433781E-2</v>
          </cell>
          <cell r="T82">
            <v>7.2092823794611682E-5</v>
          </cell>
          <cell r="U82">
            <v>2.5747437069512102E-5</v>
          </cell>
          <cell r="V82">
            <v>8.7775353646568632E-6</v>
          </cell>
          <cell r="W82">
            <v>2.8622397928446119E-6</v>
          </cell>
        </row>
        <row r="83">
          <cell r="A83" t="str">
            <v>Water heating</v>
          </cell>
          <cell r="B83" t="str">
            <v>WH Pipe insulation - Retro</v>
          </cell>
          <cell r="C83" t="str">
            <v>Retro12Med</v>
          </cell>
          <cell r="D83">
            <v>0.10937459468255628</v>
          </cell>
          <cell r="E83">
            <v>0.10937459468255628</v>
          </cell>
          <cell r="F83">
            <v>0.10937459468255628</v>
          </cell>
          <cell r="G83">
            <v>0.10937459468255628</v>
          </cell>
          <cell r="H83">
            <v>0.10937459468255628</v>
          </cell>
          <cell r="I83">
            <v>9.8437135214300656E-2</v>
          </cell>
          <cell r="J83">
            <v>7.874970817144053E-2</v>
          </cell>
          <cell r="K83">
            <v>6.2999766537152418E-2</v>
          </cell>
          <cell r="L83">
            <v>5.0399813229721938E-2</v>
          </cell>
          <cell r="M83">
            <v>4.0319850583777551E-2</v>
          </cell>
          <cell r="N83">
            <v>3.225588046702204E-2</v>
          </cell>
          <cell r="O83">
            <v>2.5804704373617631E-2</v>
          </cell>
          <cell r="P83">
            <v>2.0643763498894106E-2</v>
          </cell>
          <cell r="Q83">
            <v>1.6515010799115284E-2</v>
          </cell>
          <cell r="R83">
            <v>1.3212008639292228E-2</v>
          </cell>
          <cell r="S83">
            <v>1.0569606911433781E-2</v>
          </cell>
          <cell r="T83">
            <v>7.2092823794611682E-5</v>
          </cell>
          <cell r="U83">
            <v>2.5747437069512102E-5</v>
          </cell>
          <cell r="V83">
            <v>8.7775353646568632E-6</v>
          </cell>
          <cell r="W83">
            <v>2.8622397928446119E-6</v>
          </cell>
        </row>
        <row r="84">
          <cell r="A84" t="str">
            <v>HVAC</v>
          </cell>
          <cell r="B84" t="str">
            <v>DHP Ducted - 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Electronics</v>
          </cell>
          <cell r="B85" t="str">
            <v>Advanced Power Strips - New</v>
          </cell>
          <cell r="C85" t="str">
            <v>LO5Med</v>
          </cell>
          <cell r="D85">
            <v>4.2999999999999997E-2</v>
          </cell>
          <cell r="E85">
            <v>9.5797142280278316E-2</v>
          </cell>
          <cell r="F85">
            <v>0.16040539374775648</v>
          </cell>
          <cell r="G85">
            <v>0.23540539374775649</v>
          </cell>
          <cell r="H85">
            <v>0.32095239121809005</v>
          </cell>
          <cell r="I85">
            <v>0.42096711425629652</v>
          </cell>
          <cell r="J85">
            <v>0.53068481860864725</v>
          </cell>
          <cell r="K85">
            <v>0.642769203728351</v>
          </cell>
          <cell r="L85">
            <v>0.74839528535557953</v>
          </cell>
          <cell r="M85">
            <v>0.83918984935345187</v>
          </cell>
          <cell r="N85">
            <v>0.90945051634530116</v>
          </cell>
          <cell r="O85">
            <v>0.9576688767502457</v>
          </cell>
          <cell r="P85">
            <v>0.9865231113648858</v>
          </cell>
          <cell r="Q85">
            <v>1.0012970762896924</v>
          </cell>
          <cell r="R85">
            <v>1.0076356106578106</v>
          </cell>
          <cell r="S85">
            <v>1.0098624683774413</v>
          </cell>
          <cell r="T85">
            <v>1.0104871783970797</v>
          </cell>
          <cell r="U85">
            <v>1.010623336815976</v>
          </cell>
          <cell r="V85">
            <v>1.0106457174525985</v>
          </cell>
          <cell r="W85">
            <v>1.0106484038909742</v>
          </cell>
        </row>
        <row r="86">
          <cell r="A86" t="str">
            <v>Electronics</v>
          </cell>
          <cell r="B86" t="str">
            <v>Advanced Power Strips - 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HVAC</v>
          </cell>
          <cell r="B87" t="str">
            <v>Controls Commissioning and Sizing - New</v>
          </cell>
          <cell r="C87" t="str">
            <v>LO5Med</v>
          </cell>
          <cell r="D87">
            <v>4.2999999999999997E-2</v>
          </cell>
          <cell r="E87">
            <v>9.5797142280278316E-2</v>
          </cell>
          <cell r="F87">
            <v>0.16040539374775648</v>
          </cell>
          <cell r="G87">
            <v>0.23540539374775649</v>
          </cell>
          <cell r="H87">
            <v>0.32095239121809005</v>
          </cell>
          <cell r="I87">
            <v>0.42096711425629652</v>
          </cell>
          <cell r="J87">
            <v>0.53068481860864725</v>
          </cell>
          <cell r="K87">
            <v>0.642769203728351</v>
          </cell>
          <cell r="L87">
            <v>0.74839528535557953</v>
          </cell>
          <cell r="M87">
            <v>0.83918984935345187</v>
          </cell>
          <cell r="N87">
            <v>0.90945051634530116</v>
          </cell>
          <cell r="O87">
            <v>0.9576688767502457</v>
          </cell>
          <cell r="P87">
            <v>0.9865231113648858</v>
          </cell>
          <cell r="Q87">
            <v>1.0012970762896924</v>
          </cell>
          <cell r="R87">
            <v>1.0076356106578106</v>
          </cell>
          <cell r="S87">
            <v>1.0098624683774413</v>
          </cell>
          <cell r="T87">
            <v>1.0104871783970797</v>
          </cell>
          <cell r="U87">
            <v>1.010623336815976</v>
          </cell>
          <cell r="V87">
            <v>1.0106457174525985</v>
          </cell>
          <cell r="W87">
            <v>1.0106484038909742</v>
          </cell>
        </row>
        <row r="88">
          <cell r="A88" t="str">
            <v>HVAC</v>
          </cell>
          <cell r="B88" t="str">
            <v>Controls Commissioning and Sizing - NR</v>
          </cell>
          <cell r="C88" t="str">
            <v>LO5Med</v>
          </cell>
          <cell r="D88">
            <v>4.2999999999999997E-2</v>
          </cell>
          <cell r="E88">
            <v>9.5797142280278316E-2</v>
          </cell>
          <cell r="F88">
            <v>0.16040539374775648</v>
          </cell>
          <cell r="G88">
            <v>0.23540539374775649</v>
          </cell>
          <cell r="H88">
            <v>0.32095239121809005</v>
          </cell>
          <cell r="I88">
            <v>0.42096711425629652</v>
          </cell>
          <cell r="J88">
            <v>0.53068481860864725</v>
          </cell>
          <cell r="K88">
            <v>0.642769203728351</v>
          </cell>
          <cell r="L88">
            <v>0.74839528535557953</v>
          </cell>
          <cell r="M88">
            <v>0.83918984935345187</v>
          </cell>
          <cell r="N88">
            <v>0.90945051634530116</v>
          </cell>
          <cell r="O88">
            <v>0.9576688767502457</v>
          </cell>
          <cell r="P88">
            <v>0.9865231113648858</v>
          </cell>
          <cell r="Q88">
            <v>1.0012970762896924</v>
          </cell>
          <cell r="R88">
            <v>1.0076356106578106</v>
          </cell>
          <cell r="S88">
            <v>1.0098624683774413</v>
          </cell>
          <cell r="T88">
            <v>1.0104871783970797</v>
          </cell>
          <cell r="U88">
            <v>1.010623336815976</v>
          </cell>
          <cell r="V88">
            <v>1.0106457174525985</v>
          </cell>
          <cell r="W88">
            <v>1.0106484038909742</v>
          </cell>
        </row>
        <row r="89">
          <cell r="A89" t="str">
            <v>HVAC</v>
          </cell>
          <cell r="B89" t="str">
            <v>ResWx - Retro</v>
          </cell>
          <cell r="C89" t="str">
            <v>Retro12Med</v>
          </cell>
          <cell r="D89">
            <v>0.10937459468255628</v>
          </cell>
          <cell r="E89">
            <v>0.10937459468255628</v>
          </cell>
          <cell r="F89">
            <v>0.10937459468255628</v>
          </cell>
          <cell r="G89">
            <v>0.10937459468255628</v>
          </cell>
          <cell r="H89">
            <v>0.10937459468255628</v>
          </cell>
          <cell r="I89">
            <v>9.8437135214300656E-2</v>
          </cell>
          <cell r="J89">
            <v>7.874970817144053E-2</v>
          </cell>
          <cell r="K89">
            <v>6.2999766537152418E-2</v>
          </cell>
          <cell r="L89">
            <v>5.0399813229721938E-2</v>
          </cell>
          <cell r="M89">
            <v>4.0319850583777551E-2</v>
          </cell>
          <cell r="N89">
            <v>3.225588046702204E-2</v>
          </cell>
          <cell r="O89">
            <v>2.5804704373617631E-2</v>
          </cell>
          <cell r="P89">
            <v>2.0643763498894106E-2</v>
          </cell>
          <cell r="Q89">
            <v>1.6515010799115284E-2</v>
          </cell>
          <cell r="R89">
            <v>1.3212008639292228E-2</v>
          </cell>
          <cell r="S89">
            <v>1.0569606911433781E-2</v>
          </cell>
          <cell r="T89">
            <v>7.2092823794611682E-5</v>
          </cell>
          <cell r="U89">
            <v>2.5747437069512102E-5</v>
          </cell>
          <cell r="V89">
            <v>8.7775353646568632E-6</v>
          </cell>
          <cell r="W89">
            <v>2.8622397928446119E-6</v>
          </cell>
        </row>
      </sheetData>
      <sheetData sheetId="10">
        <row r="9">
          <cell r="B9" t="str">
            <v>Measure Index Name</v>
          </cell>
          <cell r="C9" t="str">
            <v>Adjustments Made to Conservation Assessment for Code conditions</v>
          </cell>
        </row>
        <row r="10">
          <cell r="B10" t="str">
            <v>Lighting - New</v>
          </cell>
        </row>
        <row r="11">
          <cell r="B11" t="str">
            <v>Lighting - NR</v>
          </cell>
        </row>
        <row r="12">
          <cell r="B12" t="str">
            <v>Lighting - PPA</v>
          </cell>
        </row>
        <row r="13">
          <cell r="B13" t="str">
            <v>Dishwasher - New</v>
          </cell>
        </row>
        <row r="14">
          <cell r="B14" t="str">
            <v>Dishwasher - NR</v>
          </cell>
        </row>
        <row r="15">
          <cell r="B15" t="str">
            <v>Clothes Washer - New</v>
          </cell>
        </row>
        <row r="16">
          <cell r="B16" t="str">
            <v>Clothes Washer - NR</v>
          </cell>
        </row>
        <row r="17">
          <cell r="B17" t="str">
            <v>WasteWater Heat Recovery - New</v>
          </cell>
        </row>
        <row r="18">
          <cell r="B18" t="str">
            <v>Showerheads - New</v>
          </cell>
        </row>
        <row r="19">
          <cell r="B19" t="str">
            <v>Showerheads - Retro</v>
          </cell>
        </row>
        <row r="20">
          <cell r="B20" t="str">
            <v>HPWH - New</v>
          </cell>
        </row>
        <row r="21">
          <cell r="B21" t="str">
            <v>HPWH - NR</v>
          </cell>
        </row>
        <row r="22">
          <cell r="B22" t="str">
            <v>EV Supply Equip - NR</v>
          </cell>
        </row>
        <row r="23">
          <cell r="B23" t="str">
            <v>Clothes Dryer - New</v>
          </cell>
        </row>
        <row r="24">
          <cell r="B24" t="str">
            <v>Clothes Dryer - NR</v>
          </cell>
        </row>
        <row r="25">
          <cell r="B25" t="str">
            <v>Refrigerator - New</v>
          </cell>
        </row>
        <row r="26">
          <cell r="B26" t="str">
            <v>Refrigerator - NR</v>
          </cell>
        </row>
        <row r="27">
          <cell r="B27" t="str">
            <v>Freezer - New</v>
          </cell>
        </row>
        <row r="28">
          <cell r="B28" t="str">
            <v>Freezer - NR</v>
          </cell>
        </row>
        <row r="29">
          <cell r="B29" t="str">
            <v>Solar Water Heater - New</v>
          </cell>
        </row>
        <row r="30">
          <cell r="B30" t="str">
            <v>Solar Water Heater - NR</v>
          </cell>
        </row>
        <row r="31">
          <cell r="B31" t="str">
            <v>Solar Water Heater - Retro</v>
          </cell>
        </row>
        <row r="32">
          <cell r="B32">
            <v>0</v>
          </cell>
        </row>
        <row r="33">
          <cell r="B33">
            <v>0</v>
          </cell>
        </row>
        <row r="34">
          <cell r="B34" t="str">
            <v>Microwave - New</v>
          </cell>
        </row>
        <row r="35">
          <cell r="B35" t="str">
            <v>Microwave - NR</v>
          </cell>
        </row>
        <row r="36">
          <cell r="B36" t="str">
            <v>Monitor - New</v>
          </cell>
        </row>
        <row r="37">
          <cell r="B37" t="str">
            <v>Monitor - NR</v>
          </cell>
        </row>
        <row r="38">
          <cell r="B38" t="str">
            <v>Desktop - New</v>
          </cell>
        </row>
        <row r="39">
          <cell r="B39" t="str">
            <v>Desktop - NR</v>
          </cell>
        </row>
        <row r="40">
          <cell r="B40" t="str">
            <v>Laptop - New</v>
          </cell>
        </row>
        <row r="41">
          <cell r="B41" t="str">
            <v>Laptop - NR</v>
          </cell>
        </row>
        <row r="42">
          <cell r="B42" t="str">
            <v>Computer - New</v>
          </cell>
        </row>
        <row r="43">
          <cell r="B43" t="str">
            <v>Computer - NR</v>
          </cell>
        </row>
        <row r="44">
          <cell r="B44" t="str">
            <v>ASHP - New</v>
          </cell>
        </row>
        <row r="45">
          <cell r="B45" t="str">
            <v>ASHP - NR</v>
          </cell>
        </row>
        <row r="46">
          <cell r="B46" t="str">
            <v>HP - Retro</v>
          </cell>
        </row>
        <row r="47">
          <cell r="B47" t="str">
            <v>DHP - New</v>
          </cell>
        </row>
        <row r="48">
          <cell r="B48" t="str">
            <v>DHP - NR</v>
          </cell>
        </row>
        <row r="49">
          <cell r="B49" t="str">
            <v>DHP - Retro</v>
          </cell>
        </row>
        <row r="50">
          <cell r="B50" t="str">
            <v>Duct Sealing - New</v>
          </cell>
        </row>
        <row r="51">
          <cell r="B51" t="str">
            <v>Duct Sealing - Retro</v>
          </cell>
        </row>
        <row r="52">
          <cell r="B52" t="str">
            <v>WIFI enabled tstats - New</v>
          </cell>
        </row>
        <row r="53">
          <cell r="B53" t="str">
            <v>WIFI enabled tstats - Retro</v>
          </cell>
        </row>
        <row r="54">
          <cell r="B54" t="str">
            <v>Combo DHP/HPWH units - New</v>
          </cell>
        </row>
        <row r="55">
          <cell r="B55" t="str">
            <v>Combo DHP/HPWH units - NR</v>
          </cell>
        </row>
        <row r="56">
          <cell r="B56" t="str">
            <v>Combo DHP/HPWH units - Retro</v>
          </cell>
        </row>
        <row r="57">
          <cell r="B57" t="str">
            <v>Aerator - New</v>
          </cell>
        </row>
        <row r="58">
          <cell r="B58" t="str">
            <v>Aerator - Retro</v>
          </cell>
        </row>
        <row r="59">
          <cell r="B59" t="str">
            <v>Behavior - Retro</v>
          </cell>
        </row>
        <row r="60">
          <cell r="B60" t="str">
            <v>Behavior - New</v>
          </cell>
        </row>
        <row r="61">
          <cell r="B61">
            <v>0</v>
          </cell>
        </row>
        <row r="62">
          <cell r="B62" t="str">
            <v>Heat Recovery Ventilation - New</v>
          </cell>
        </row>
        <row r="63">
          <cell r="B63" t="str">
            <v>GSHP - New</v>
          </cell>
        </row>
        <row r="64">
          <cell r="B64" t="str">
            <v>GSHP - NR</v>
          </cell>
        </row>
        <row r="65">
          <cell r="B65">
            <v>0</v>
          </cell>
        </row>
        <row r="66">
          <cell r="B66" t="str">
            <v>ECM for HVAC ventilation - New</v>
          </cell>
        </row>
        <row r="67">
          <cell r="B67" t="str">
            <v>ECM for HVAC ventilation - NR</v>
          </cell>
        </row>
        <row r="68">
          <cell r="B68" t="str">
            <v>Whole house/attic fan - New</v>
          </cell>
        </row>
        <row r="69">
          <cell r="B69" t="str">
            <v>Whole house/attic fan - Retro</v>
          </cell>
        </row>
        <row r="70">
          <cell r="B70" t="str">
            <v>WH Pipe insulation - Retro</v>
          </cell>
        </row>
        <row r="71">
          <cell r="B71" t="str">
            <v>DHP Ducted - NR</v>
          </cell>
        </row>
        <row r="72">
          <cell r="B72" t="str">
            <v>Advanced Power Strips - New</v>
          </cell>
        </row>
        <row r="73">
          <cell r="B73" t="str">
            <v>Advanced Power Strips - Retro</v>
          </cell>
        </row>
        <row r="74">
          <cell r="B74" t="str">
            <v>ResWx - Retro</v>
          </cell>
        </row>
        <row r="75">
          <cell r="B75" t="str">
            <v>ATTIC R0 - R19 - Retro</v>
          </cell>
        </row>
        <row r="76">
          <cell r="B76" t="str">
            <v>ATTIC R0 - R38 - Retro</v>
          </cell>
        </row>
        <row r="77">
          <cell r="B77" t="str">
            <v>ATTIC R0 - R49 - Retro</v>
          </cell>
        </row>
        <row r="78">
          <cell r="B78" t="str">
            <v>ATTIC R11 - R38 - Retro</v>
          </cell>
        </row>
        <row r="79">
          <cell r="B79" t="str">
            <v>ATTIC R11 - R49 - Retro</v>
          </cell>
        </row>
        <row r="80">
          <cell r="B80" t="str">
            <v>ATTIC R19 - R30 - Retro</v>
          </cell>
        </row>
        <row r="81">
          <cell r="B81" t="str">
            <v>ATTIC R19 - R38 - Retro</v>
          </cell>
        </row>
        <row r="82">
          <cell r="B82" t="str">
            <v>ATTIC R19 - R49 - Retro</v>
          </cell>
        </row>
        <row r="83">
          <cell r="B83" t="str">
            <v>WALL R0 - R11 - Retro</v>
          </cell>
        </row>
        <row r="84">
          <cell r="B84" t="str">
            <v>FLOOR R0 - R19 - Retro</v>
          </cell>
        </row>
        <row r="85">
          <cell r="B85" t="str">
            <v>FLOOR R0 - R25 - Retro</v>
          </cell>
        </row>
        <row r="86">
          <cell r="B86" t="str">
            <v>FLOOR R0 - R30 - Retro</v>
          </cell>
        </row>
        <row r="87">
          <cell r="B87" t="str">
            <v>WINDOW CL30 Prime Window Replacement of Single Pane Base - Retro</v>
          </cell>
        </row>
        <row r="88">
          <cell r="B88" t="str">
            <v>WINDOW CL30 Prime Window Replacement of Double Pane Base - Retro</v>
          </cell>
        </row>
        <row r="89">
          <cell r="B89" t="e">
            <v>#REF!</v>
          </cell>
        </row>
        <row r="90">
          <cell r="B90" t="str">
            <v>WINDOW CL22 Prime Window Replacement of Single Pane Base - Retro</v>
          </cell>
        </row>
        <row r="91">
          <cell r="B91" t="str">
            <v>WINDOW CL22 Prime Window Replacement of Double Pane Base - Retro</v>
          </cell>
        </row>
        <row r="92">
          <cell r="B92" t="e">
            <v>#REF!</v>
          </cell>
        </row>
        <row r="93">
          <cell r="B93" t="str">
            <v>CFM50 Infiltration Reduction - Retro</v>
          </cell>
        </row>
        <row r="94">
          <cell r="B94" t="str">
            <v>Controls Commissioning and Sizing - New</v>
          </cell>
        </row>
        <row r="95">
          <cell r="B95" t="str">
            <v>Controls Commissioning and Sizing - NR</v>
          </cell>
        </row>
        <row r="96">
          <cell r="B96">
            <v>0</v>
          </cell>
        </row>
      </sheetData>
      <sheetData sheetId="11">
        <row r="9">
          <cell r="B9" t="str">
            <v>All Cohorts RBSA 2012</v>
          </cell>
          <cell r="C9" t="str">
            <v>BLDGTYPE</v>
          </cell>
        </row>
        <row r="10">
          <cell r="B10" t="str">
            <v>Vars</v>
          </cell>
          <cell r="C10" t="str">
            <v>Single Family</v>
          </cell>
          <cell r="D10" t="str">
            <v>Multifamily - Low Rise</v>
          </cell>
          <cell r="E10" t="str">
            <v>Multifamily - High Rise</v>
          </cell>
          <cell r="F10" t="str">
            <v>Manufactured</v>
          </cell>
        </row>
        <row r="11">
          <cell r="B11" t="str">
            <v>Electric FAF - HZ1CZ1</v>
          </cell>
          <cell r="C11">
            <v>6.8910359437455118E-2</v>
          </cell>
          <cell r="D11">
            <v>2.9671514740017984E-2</v>
          </cell>
          <cell r="E11">
            <v>2.9671514740017984E-2</v>
          </cell>
          <cell r="F11">
            <v>0.68310644913823848</v>
          </cell>
        </row>
        <row r="12">
          <cell r="B12" t="str">
            <v>Electric FAF - HZ1CZ23</v>
          </cell>
          <cell r="C12">
            <v>5.5704832325126567E-2</v>
          </cell>
          <cell r="D12">
            <v>0</v>
          </cell>
          <cell r="E12">
            <v>0</v>
          </cell>
          <cell r="F12">
            <v>0.53068387215316171</v>
          </cell>
        </row>
        <row r="13">
          <cell r="B13" t="str">
            <v>Electric FAF - HZ23CZ1</v>
          </cell>
          <cell r="C13">
            <v>6.6557500117039647E-2</v>
          </cell>
          <cell r="D13">
            <v>0</v>
          </cell>
          <cell r="E13">
            <v>0</v>
          </cell>
          <cell r="F13">
            <v>0.29641575914254098</v>
          </cell>
        </row>
        <row r="14">
          <cell r="B14" t="str">
            <v>Electric FAF - HZ23CZ23</v>
          </cell>
          <cell r="C14">
            <v>4.1453999442898203E-2</v>
          </cell>
          <cell r="D14">
            <v>0</v>
          </cell>
          <cell r="E14">
            <v>0</v>
          </cell>
          <cell r="F14">
            <v>0.49242118699820225</v>
          </cell>
        </row>
        <row r="15">
          <cell r="B15" t="str">
            <v>Electric FAF - HZ1</v>
          </cell>
          <cell r="C15">
            <v>6.3764394229545662E-2</v>
          </cell>
          <cell r="D15">
            <v>2.279607208754721E-2</v>
          </cell>
          <cell r="E15">
            <v>2.279607208754721E-2</v>
          </cell>
          <cell r="F15">
            <v>0.6103855317692306</v>
          </cell>
        </row>
        <row r="16">
          <cell r="B16" t="str">
            <v>Electric FAF - HZ23</v>
          </cell>
          <cell r="C16">
            <v>4.8202841751037277E-2</v>
          </cell>
          <cell r="D16">
            <v>0</v>
          </cell>
          <cell r="E16">
            <v>0</v>
          </cell>
          <cell r="F16">
            <v>0.42117367880782697</v>
          </cell>
        </row>
        <row r="17">
          <cell r="B17" t="str">
            <v>Electric FAF - Region</v>
          </cell>
          <cell r="C17">
            <v>5.9888429585079297E-2</v>
          </cell>
          <cell r="D17">
            <v>1.96145349060163E-2</v>
          </cell>
          <cell r="E17">
            <v>1.96145349060163E-2</v>
          </cell>
          <cell r="F17">
            <v>0.54052539788177201</v>
          </cell>
        </row>
        <row r="18">
          <cell r="B18" t="str">
            <v>Electric FAF w/ CAC - HZ1CZ1</v>
          </cell>
          <cell r="C18">
            <v>1.5601272192892677E-2</v>
          </cell>
          <cell r="D18">
            <v>0</v>
          </cell>
          <cell r="E18">
            <v>0</v>
          </cell>
          <cell r="F18">
            <v>0.15868069027846163</v>
          </cell>
        </row>
        <row r="19">
          <cell r="B19" t="str">
            <v>Electric FAF w/ CAC - HZ1CZ23</v>
          </cell>
          <cell r="C19">
            <v>0</v>
          </cell>
          <cell r="D19">
            <v>0</v>
          </cell>
          <cell r="E19">
            <v>0</v>
          </cell>
          <cell r="F19">
            <v>4.8523578535561704E-2</v>
          </cell>
        </row>
        <row r="20">
          <cell r="B20" t="str">
            <v>Electric FAF w/ CAC - HZ23CZ1</v>
          </cell>
          <cell r="C20">
            <v>0</v>
          </cell>
          <cell r="D20">
            <v>0</v>
          </cell>
          <cell r="E20">
            <v>0</v>
          </cell>
          <cell r="F20">
            <v>8.6847892074621388E-2</v>
          </cell>
        </row>
        <row r="21">
          <cell r="B21" t="str">
            <v>Electric FAF w/ CAC - HZ23CZ23</v>
          </cell>
          <cell r="C21">
            <v>0</v>
          </cell>
          <cell r="D21">
            <v>0</v>
          </cell>
          <cell r="E21">
            <v>0</v>
          </cell>
          <cell r="F21">
            <v>6.4577174474630405E-2</v>
          </cell>
        </row>
        <row r="22">
          <cell r="B22" t="str">
            <v>Heat Pump - HZ1CZ1</v>
          </cell>
          <cell r="C22">
            <v>0.13597821666189061</v>
          </cell>
          <cell r="D22">
            <v>1.0945836048995988E-3</v>
          </cell>
          <cell r="E22">
            <v>1.0945836048995988E-3</v>
          </cell>
          <cell r="F22">
            <v>0.11042200533666623</v>
          </cell>
        </row>
        <row r="23">
          <cell r="B23" t="str">
            <v>Heat Pump - HZ1CZ23</v>
          </cell>
          <cell r="C23">
            <v>0.23487960154215734</v>
          </cell>
          <cell r="D23">
            <v>4.9999998343195358E-2</v>
          </cell>
          <cell r="E23">
            <v>4.9999998343195358E-2</v>
          </cell>
          <cell r="F23">
            <v>0.3014354043468136</v>
          </cell>
        </row>
        <row r="24">
          <cell r="B24" t="str">
            <v>Heat Pump - HZ23CZ1</v>
          </cell>
          <cell r="C24">
            <v>5.8367674105625697E-2</v>
          </cell>
          <cell r="D24">
            <v>0</v>
          </cell>
          <cell r="E24">
            <v>0</v>
          </cell>
          <cell r="F24">
            <v>1.6598912836278519E-2</v>
          </cell>
        </row>
        <row r="25">
          <cell r="B25" t="str">
            <v>Heat Pump - HZ23CZ23</v>
          </cell>
          <cell r="C25">
            <v>0.12819607887593021</v>
          </cell>
          <cell r="D25">
            <v>0</v>
          </cell>
          <cell r="E25">
            <v>0</v>
          </cell>
          <cell r="F25">
            <v>7.8940309013942875E-2</v>
          </cell>
        </row>
        <row r="26">
          <cell r="B26" t="str">
            <v>Heat Pump - HZ1</v>
          </cell>
          <cell r="C26">
            <v>0.17451837346735202</v>
          </cell>
          <cell r="D26">
            <v>1.2426879154171162E-2</v>
          </cell>
          <cell r="E26">
            <v>1.2426879154171162E-2</v>
          </cell>
          <cell r="F26">
            <v>0.20155463070325005</v>
          </cell>
        </row>
        <row r="27">
          <cell r="B27" t="str">
            <v>Heat Pump - HZ23</v>
          </cell>
          <cell r="C27">
            <v>0.10942336273004506</v>
          </cell>
          <cell r="D27">
            <v>0</v>
          </cell>
          <cell r="E27">
            <v>0</v>
          </cell>
          <cell r="F27">
            <v>5.6279359348618191E-2</v>
          </cell>
        </row>
        <row r="28">
          <cell r="B28" t="str">
            <v>Heat Pump - Region</v>
          </cell>
          <cell r="C28">
            <v>0.15830495514052295</v>
          </cell>
          <cell r="D28">
            <v>1.0692519922126772E-2</v>
          </cell>
          <cell r="E28">
            <v>1.0692519922126772E-2</v>
          </cell>
          <cell r="F28">
            <v>0.14791660671834839</v>
          </cell>
        </row>
        <row r="29">
          <cell r="B29" t="str">
            <v>Electric Zonal - HZ1CZ1</v>
          </cell>
          <cell r="C29">
            <v>0.1649901802637759</v>
          </cell>
          <cell r="D29">
            <v>0.85383980263040493</v>
          </cell>
          <cell r="E29">
            <v>0.85383980263040493</v>
          </cell>
          <cell r="F29">
            <v>3.0024948086295324E-2</v>
          </cell>
        </row>
        <row r="30">
          <cell r="B30" t="str">
            <v>Electric Zonal - HZ1CZ23</v>
          </cell>
          <cell r="C30">
            <v>9.8631712913821959E-2</v>
          </cell>
          <cell r="D30">
            <v>0.73333333554240632</v>
          </cell>
          <cell r="E30">
            <v>0.73333333554240632</v>
          </cell>
          <cell r="F30">
            <v>2.9788775817665265E-2</v>
          </cell>
        </row>
        <row r="31">
          <cell r="B31" t="str">
            <v>Electric Zonal - HZ23CZ1</v>
          </cell>
          <cell r="C31">
            <v>0.12476331328161443</v>
          </cell>
          <cell r="D31">
            <v>0.59999998409467525</v>
          </cell>
          <cell r="E31">
            <v>0.59999998409467525</v>
          </cell>
          <cell r="F31">
            <v>3.3197825672557038E-2</v>
          </cell>
        </row>
        <row r="32">
          <cell r="B32" t="str">
            <v>Electric Zonal - HZ23CZ23</v>
          </cell>
          <cell r="C32">
            <v>0.1649470283041021</v>
          </cell>
          <cell r="D32">
            <v>0.77777778759587934</v>
          </cell>
          <cell r="E32">
            <v>0.77777778759587934</v>
          </cell>
          <cell r="F32">
            <v>3.9084849826646118E-2</v>
          </cell>
        </row>
        <row r="33">
          <cell r="B33" t="str">
            <v>Electric Zonal - HZ1</v>
          </cell>
          <cell r="C33">
            <v>0.1391314348060306</v>
          </cell>
          <cell r="D33">
            <v>0.82591620954879041</v>
          </cell>
          <cell r="E33">
            <v>0.82591620954879041</v>
          </cell>
          <cell r="F33">
            <v>2.9912270132860779E-2</v>
          </cell>
        </row>
        <row r="34">
          <cell r="B34" t="str">
            <v>Electric Zonal - HZ23</v>
          </cell>
          <cell r="C34">
            <v>0.15414401084601026</v>
          </cell>
          <cell r="D34">
            <v>0.71428571563820797</v>
          </cell>
          <cell r="E34">
            <v>0.71428571563820797</v>
          </cell>
          <cell r="F34">
            <v>3.6944930507961368E-2</v>
          </cell>
        </row>
        <row r="35">
          <cell r="B35" t="str">
            <v>Electric Zonal - Region</v>
          </cell>
          <cell r="C35">
            <v>0.14287066416850494</v>
          </cell>
          <cell r="D35">
            <v>0.81033648311148054</v>
          </cell>
          <cell r="E35">
            <v>0.81033648311148054</v>
          </cell>
          <cell r="F35">
            <v>3.2508844225339915E-2</v>
          </cell>
        </row>
        <row r="36">
          <cell r="B36" t="str">
            <v>DHP - HZ1CZ1</v>
          </cell>
          <cell r="C36">
            <v>3.2261403645206709E-2</v>
          </cell>
          <cell r="D36">
            <v>2.3692380398754449E-2</v>
          </cell>
          <cell r="E36">
            <v>2.3692380398754449E-2</v>
          </cell>
          <cell r="F36">
            <v>1.2931050080460879E-2</v>
          </cell>
        </row>
        <row r="37">
          <cell r="B37" t="str">
            <v>DHP - HZ1CZ23</v>
          </cell>
          <cell r="C37">
            <v>1.0644758975689617E-2</v>
          </cell>
          <cell r="D37">
            <v>0</v>
          </cell>
          <cell r="E37">
            <v>0</v>
          </cell>
          <cell r="F37">
            <v>0</v>
          </cell>
        </row>
        <row r="38">
          <cell r="B38" t="str">
            <v>DHP - HZ23CZ1</v>
          </cell>
          <cell r="C38">
            <v>0</v>
          </cell>
          <cell r="D38">
            <v>0</v>
          </cell>
          <cell r="E38">
            <v>0</v>
          </cell>
          <cell r="F38">
            <v>2.3801185576297144E-2</v>
          </cell>
        </row>
        <row r="39">
          <cell r="B39" t="str">
            <v>DHP - HZ23CZ23</v>
          </cell>
          <cell r="C39">
            <v>2.8613550828090885E-3</v>
          </cell>
          <cell r="D39">
            <v>0</v>
          </cell>
          <cell r="E39">
            <v>0</v>
          </cell>
          <cell r="F39">
            <v>9.4794076514498494E-3</v>
          </cell>
        </row>
        <row r="40">
          <cell r="B40" t="str">
            <v>DHP - HZ1</v>
          </cell>
          <cell r="C40">
            <v>2.3837771598196254E-2</v>
          </cell>
          <cell r="D40">
            <v>1.8202414545664333E-2</v>
          </cell>
          <cell r="E40">
            <v>1.8202414545664333E-2</v>
          </cell>
          <cell r="F40">
            <v>6.761637103748332E-3</v>
          </cell>
        </row>
        <row r="41">
          <cell r="B41" t="str">
            <v>DHP - HZ23</v>
          </cell>
          <cell r="C41">
            <v>2.0921064233437379E-3</v>
          </cell>
          <cell r="D41">
            <v>0</v>
          </cell>
          <cell r="E41">
            <v>0</v>
          </cell>
          <cell r="F41">
            <v>1.4685339962430082E-2</v>
          </cell>
        </row>
        <row r="42">
          <cell r="B42" t="str">
            <v>DHP - Region</v>
          </cell>
          <cell r="C42">
            <v>1.8421510623943455E-2</v>
          </cell>
          <cell r="D42">
            <v>1.5661991860200661E-2</v>
          </cell>
          <cell r="E42">
            <v>1.5661991860200661E-2</v>
          </cell>
          <cell r="F42">
            <v>9.6871987634867523E-3</v>
          </cell>
        </row>
        <row r="43">
          <cell r="B43" t="str">
            <v>Central AC - CZ1</v>
          </cell>
          <cell r="C43">
            <v>8.7547645191238574E-2</v>
          </cell>
          <cell r="D43">
            <v>1.2325175673207357E-2</v>
          </cell>
          <cell r="E43">
            <v>1.2325175673207357E-2</v>
          </cell>
          <cell r="F43">
            <v>0.14076353391268348</v>
          </cell>
        </row>
        <row r="44">
          <cell r="B44" t="str">
            <v>Central AC - CZ23</v>
          </cell>
          <cell r="C44">
            <v>0.27842841395843276</v>
          </cell>
          <cell r="D44">
            <v>6.8965519290222155E-2</v>
          </cell>
          <cell r="E44">
            <v>6.8965519290222155E-2</v>
          </cell>
          <cell r="F44">
            <v>0.17641272113455647</v>
          </cell>
        </row>
        <row r="45">
          <cell r="B45" t="str">
            <v>Room A/C - CZ1</v>
          </cell>
          <cell r="C45">
            <v>3.8197963209166262E-2</v>
          </cell>
          <cell r="D45">
            <v>5.3226756579866766E-2</v>
          </cell>
          <cell r="E45">
            <v>5.3226756579866766E-2</v>
          </cell>
          <cell r="F45">
            <v>0.21069287259219041</v>
          </cell>
        </row>
        <row r="46">
          <cell r="B46" t="str">
            <v>Room A/C - CZ23</v>
          </cell>
          <cell r="C46">
            <v>9.88884449045868E-2</v>
          </cell>
          <cell r="D46">
            <v>0.10344827665008544</v>
          </cell>
          <cell r="E46">
            <v>0.10344827665008544</v>
          </cell>
          <cell r="F46">
            <v>0.16156829862253547</v>
          </cell>
        </row>
        <row r="47">
          <cell r="B47" t="str">
            <v>Electric WH</v>
          </cell>
          <cell r="C47">
            <v>0.55200000000000005</v>
          </cell>
          <cell r="D47">
            <v>0.94699999999999995</v>
          </cell>
          <cell r="E47">
            <v>0.94699999999999995</v>
          </cell>
          <cell r="F47">
            <v>0.88900000000000001</v>
          </cell>
        </row>
        <row r="48">
          <cell r="B48" t="str">
            <v>DWH &lt;55 inside</v>
          </cell>
          <cell r="C48">
            <v>0.34060273187152323</v>
          </cell>
          <cell r="D48">
            <v>0.69037391065424225</v>
          </cell>
          <cell r="E48">
            <v>0.69037391065424225</v>
          </cell>
          <cell r="F48">
            <v>0.64044035004660882</v>
          </cell>
        </row>
        <row r="49">
          <cell r="B49" t="str">
            <v>DHW &lt;55 outside buffer</v>
          </cell>
          <cell r="C49">
            <v>0.13278888545034082</v>
          </cell>
          <cell r="D49">
            <v>0</v>
          </cell>
          <cell r="E49">
            <v>0</v>
          </cell>
          <cell r="F49">
            <v>3.5084497934898207E-2</v>
          </cell>
        </row>
        <row r="50">
          <cell r="B50" t="str">
            <v>DHW &lt; 55 outside unbuffer</v>
          </cell>
          <cell r="C50">
            <v>0</v>
          </cell>
          <cell r="D50">
            <v>0</v>
          </cell>
          <cell r="E50">
            <v>0</v>
          </cell>
          <cell r="F50">
            <v>0.19050866802895391</v>
          </cell>
        </row>
        <row r="51">
          <cell r="B51" t="str">
            <v>DHW &gt;55 inside</v>
          </cell>
          <cell r="C51">
            <v>4.0633005829326954E-2</v>
          </cell>
          <cell r="D51">
            <v>5.571349522752414E-2</v>
          </cell>
          <cell r="E51">
            <v>5.571349522752414E-2</v>
          </cell>
          <cell r="F51">
            <v>0</v>
          </cell>
        </row>
        <row r="52">
          <cell r="B52" t="str">
            <v>DHW &gt;55 outside buffer</v>
          </cell>
          <cell r="C52">
            <v>1.9105116539180608E-2</v>
          </cell>
          <cell r="D52">
            <v>0</v>
          </cell>
          <cell r="E52">
            <v>0</v>
          </cell>
          <cell r="F52">
            <v>0</v>
          </cell>
        </row>
        <row r="53">
          <cell r="B53" t="str">
            <v>DHW &gt;55 outside unbuffer</v>
          </cell>
          <cell r="C53">
            <v>7.8395734639023578E-4</v>
          </cell>
          <cell r="D53">
            <v>0</v>
          </cell>
          <cell r="E53">
            <v>0</v>
          </cell>
          <cell r="F53">
            <v>0</v>
          </cell>
        </row>
        <row r="54">
          <cell r="B54" t="str">
            <v>Refrigerator</v>
          </cell>
          <cell r="C54">
            <v>1.2831400506742725</v>
          </cell>
          <cell r="D54">
            <v>1.0236201688615751</v>
          </cell>
          <cell r="E54">
            <v>1.0236201688615751</v>
          </cell>
          <cell r="F54">
            <v>1.1963734390534748</v>
          </cell>
        </row>
        <row r="55">
          <cell r="B55" t="str">
            <v>Freezer</v>
          </cell>
          <cell r="C55">
            <v>0.52766223341265472</v>
          </cell>
          <cell r="D55">
            <v>4.7085148422193572E-2</v>
          </cell>
          <cell r="E55">
            <v>4.7085148422193572E-2</v>
          </cell>
          <cell r="F55">
            <v>0.44147575101117187</v>
          </cell>
        </row>
        <row r="56">
          <cell r="B56" t="str">
            <v>Clothes Washer</v>
          </cell>
          <cell r="C56">
            <v>0.98546930096285335</v>
          </cell>
          <cell r="D56">
            <v>0.46477658924872384</v>
          </cell>
          <cell r="E56">
            <v>0.46477658924872384</v>
          </cell>
          <cell r="F56">
            <v>0.95368270905809616</v>
          </cell>
        </row>
        <row r="57">
          <cell r="B57" t="str">
            <v>Clothes Dryer</v>
          </cell>
          <cell r="C57">
            <v>0.93640551858187504</v>
          </cell>
          <cell r="D57">
            <v>0.46266057162974022</v>
          </cell>
          <cell r="E57">
            <v>0.46266057162974022</v>
          </cell>
          <cell r="F57">
            <v>0.88480083438048951</v>
          </cell>
        </row>
        <row r="58">
          <cell r="B58" t="str">
            <v>Dishwasher</v>
          </cell>
          <cell r="C58">
            <v>0.87764489634961651</v>
          </cell>
          <cell r="D58">
            <v>0.78113749066870952</v>
          </cell>
          <cell r="E58">
            <v>0.78113749066870952</v>
          </cell>
          <cell r="F58">
            <v>0.76196535734220561</v>
          </cell>
        </row>
        <row r="59">
          <cell r="B59" t="str">
            <v>Microwave</v>
          </cell>
          <cell r="C59">
            <v>0.95</v>
          </cell>
          <cell r="D59">
            <v>0.95</v>
          </cell>
          <cell r="E59">
            <v>0.95</v>
          </cell>
          <cell r="F59">
            <v>0.95</v>
          </cell>
        </row>
        <row r="60">
          <cell r="B60" t="str">
            <v>Electric Oven</v>
          </cell>
          <cell r="C60">
            <v>0.86895503473004965</v>
          </cell>
          <cell r="D60">
            <v>0.96585088459989477</v>
          </cell>
          <cell r="E60">
            <v>0.96585088459989477</v>
          </cell>
          <cell r="F60">
            <v>0.89920410170315002</v>
          </cell>
        </row>
        <row r="61">
          <cell r="B61" t="str">
            <v>TV</v>
          </cell>
          <cell r="C61">
            <v>2.2906090340948593</v>
          </cell>
          <cell r="D61">
            <v>1.5145007606068333</v>
          </cell>
          <cell r="E61">
            <v>1.5145007606068333</v>
          </cell>
          <cell r="F61">
            <v>2.0454162110233622</v>
          </cell>
        </row>
        <row r="62">
          <cell r="B62" t="str">
            <v>Set top box</v>
          </cell>
          <cell r="C62">
            <v>1.0654190989347723</v>
          </cell>
          <cell r="D62">
            <v>1.038434724492763</v>
          </cell>
          <cell r="E62">
            <v>1.038434724492763</v>
          </cell>
          <cell r="F62">
            <v>1.3170555258448295</v>
          </cell>
        </row>
        <row r="63">
          <cell r="B63" t="str">
            <v>Computer</v>
          </cell>
          <cell r="C63">
            <v>1.6655502145549572</v>
          </cell>
          <cell r="D63">
            <v>0.71239882016544165</v>
          </cell>
          <cell r="E63">
            <v>0.71239882016544165</v>
          </cell>
          <cell r="F63">
            <v>1.1331497454290105</v>
          </cell>
        </row>
        <row r="64">
          <cell r="B64" t="str">
            <v>Monitor</v>
          </cell>
          <cell r="C64">
            <v>1.0109839382712824</v>
          </cell>
          <cell r="D64">
            <v>0.45062457275939666</v>
          </cell>
          <cell r="E64">
            <v>0.45062457275939666</v>
          </cell>
          <cell r="F64">
            <v>0.72198913200149617</v>
          </cell>
        </row>
        <row r="65">
          <cell r="B65" t="str">
            <v>EISA nx</v>
          </cell>
          <cell r="C65">
            <v>0.73183262488926393</v>
          </cell>
          <cell r="D65">
            <v>0.41826483853544827</v>
          </cell>
          <cell r="E65">
            <v>0.41826483853544827</v>
          </cell>
          <cell r="F65">
            <v>0.81140182193357802</v>
          </cell>
        </row>
        <row r="66">
          <cell r="B66" t="str">
            <v>EISA x</v>
          </cell>
          <cell r="C66">
            <v>0.26816737511073607</v>
          </cell>
          <cell r="D66">
            <v>0.58148897029728519</v>
          </cell>
          <cell r="E66">
            <v>0.58148897029728519</v>
          </cell>
          <cell r="F66">
            <v>0.18859817806642193</v>
          </cell>
        </row>
        <row r="67">
          <cell r="B67" t="str">
            <v>WallSqft</v>
          </cell>
          <cell r="C67">
            <v>1802.7725325176218</v>
          </cell>
          <cell r="D67">
            <v>487</v>
          </cell>
          <cell r="F67">
            <v>1216.4209797598855</v>
          </cell>
        </row>
        <row r="68">
          <cell r="B68" t="str">
            <v>AtticSqft</v>
          </cell>
          <cell r="C68">
            <v>1431.3235818765609</v>
          </cell>
          <cell r="D68">
            <v>407</v>
          </cell>
          <cell r="F68">
            <v>1280</v>
          </cell>
        </row>
        <row r="69">
          <cell r="B69" t="str">
            <v>FloorSqft</v>
          </cell>
          <cell r="C69">
            <v>1431.3235818765609</v>
          </cell>
          <cell r="D69">
            <v>390</v>
          </cell>
          <cell r="F69">
            <v>1280</v>
          </cell>
        </row>
        <row r="70">
          <cell r="B70" t="str">
            <v>WindowSqft</v>
          </cell>
          <cell r="C70">
            <v>178.91544773457011</v>
          </cell>
          <cell r="D70">
            <v>174</v>
          </cell>
          <cell r="F70">
            <v>160</v>
          </cell>
        </row>
        <row r="71">
          <cell r="B71" t="str">
            <v>HomeSqft</v>
          </cell>
          <cell r="C71">
            <v>2006</v>
          </cell>
          <cell r="D71">
            <v>1150</v>
          </cell>
          <cell r="E71">
            <v>1150</v>
          </cell>
          <cell r="F71">
            <v>1280</v>
          </cell>
        </row>
        <row r="72">
          <cell r="B72" t="str">
            <v>Lighting</v>
          </cell>
          <cell r="C72">
            <v>63</v>
          </cell>
          <cell r="D72">
            <v>23</v>
          </cell>
          <cell r="E72">
            <v>23</v>
          </cell>
          <cell r="F72">
            <v>34.5</v>
          </cell>
        </row>
        <row r="86">
          <cell r="B86" t="str">
            <v>FORECAST</v>
          </cell>
          <cell r="C86" t="str">
            <v>BLDGTYPE</v>
          </cell>
        </row>
        <row r="87">
          <cell r="B87" t="str">
            <v>Vars</v>
          </cell>
          <cell r="C87" t="str">
            <v>Single Family</v>
          </cell>
          <cell r="D87" t="str">
            <v>Multifamily - Low Rise</v>
          </cell>
          <cell r="E87" t="str">
            <v>Multifamily - High Rise</v>
          </cell>
          <cell r="F87" t="str">
            <v>Manufactured</v>
          </cell>
        </row>
        <row r="88">
          <cell r="B88" t="str">
            <v>Electric FAF - HZ1CZ1</v>
          </cell>
          <cell r="C88">
            <v>1.8379055706406227E-2</v>
          </cell>
          <cell r="D88">
            <v>2.9671514740017984E-2</v>
          </cell>
          <cell r="E88">
            <v>2.9671514740017984E-2</v>
          </cell>
          <cell r="F88">
            <v>0.68310644913823848</v>
          </cell>
        </row>
        <row r="89">
          <cell r="B89" t="str">
            <v>Electric FAF - HZ1CZ23</v>
          </cell>
          <cell r="C89">
            <v>2.412923495568365E-2</v>
          </cell>
          <cell r="D89">
            <v>0</v>
          </cell>
          <cell r="E89">
            <v>0</v>
          </cell>
          <cell r="F89">
            <v>0.53068387215316171</v>
          </cell>
        </row>
        <row r="90">
          <cell r="B90" t="str">
            <v>Electric FAF - HZ23CZ1</v>
          </cell>
          <cell r="C90">
            <v>1.4117647058823532E-2</v>
          </cell>
          <cell r="D90">
            <v>0</v>
          </cell>
          <cell r="E90">
            <v>0</v>
          </cell>
          <cell r="F90">
            <v>0.29641575914254098</v>
          </cell>
        </row>
        <row r="91">
          <cell r="B91" t="str">
            <v>Electric FAF - HZ23CZ23</v>
          </cell>
          <cell r="C91">
            <v>0.14117647058823535</v>
          </cell>
          <cell r="D91">
            <v>0</v>
          </cell>
          <cell r="E91">
            <v>0</v>
          </cell>
          <cell r="F91">
            <v>0.49242118699820225</v>
          </cell>
        </row>
        <row r="92">
          <cell r="B92" t="str">
            <v>Electric FAF - HZ1</v>
          </cell>
          <cell r="C92">
            <v>2.0048426314096562E-2</v>
          </cell>
          <cell r="D92">
            <v>2.279607208754721E-2</v>
          </cell>
          <cell r="E92">
            <v>2.279607208754721E-2</v>
          </cell>
          <cell r="F92">
            <v>0.6103855317692306</v>
          </cell>
        </row>
        <row r="93">
          <cell r="B93" t="str">
            <v>Electric FAF - HZ23</v>
          </cell>
          <cell r="C93">
            <v>8.8458324594873558E-2</v>
          </cell>
          <cell r="D93">
            <v>0</v>
          </cell>
          <cell r="E93">
            <v>0</v>
          </cell>
          <cell r="F93">
            <v>0.42117367880782697</v>
          </cell>
        </row>
        <row r="94">
          <cell r="B94" t="str">
            <v>Electric FAF - Region</v>
          </cell>
          <cell r="C94">
            <v>2.1766292465668989E-2</v>
          </cell>
          <cell r="D94">
            <v>1.96145349060163E-2</v>
          </cell>
          <cell r="E94">
            <v>1.96145349060163E-2</v>
          </cell>
          <cell r="F94">
            <v>0.54052539788177201</v>
          </cell>
        </row>
        <row r="95">
          <cell r="B95" t="str">
            <v>Electric FAF w/ CAC - HZ1CZ1</v>
          </cell>
          <cell r="C95">
            <v>0.13310430527104683</v>
          </cell>
          <cell r="D95">
            <v>0</v>
          </cell>
          <cell r="E95">
            <v>0</v>
          </cell>
          <cell r="F95">
            <v>0.15868069027846163</v>
          </cell>
        </row>
        <row r="96">
          <cell r="B96" t="str">
            <v>Electric FAF w/ CAC - HZ1CZ23</v>
          </cell>
          <cell r="C96">
            <v>0.12117534162825606</v>
          </cell>
          <cell r="D96">
            <v>0</v>
          </cell>
          <cell r="E96">
            <v>0</v>
          </cell>
          <cell r="F96">
            <v>4.8523578535561704E-2</v>
          </cell>
        </row>
        <row r="97">
          <cell r="B97" t="str">
            <v>Electric FAF w/ CAC - HZ23CZ1</v>
          </cell>
          <cell r="C97">
            <v>1.9503476240466618E-2</v>
          </cell>
          <cell r="D97">
            <v>0</v>
          </cell>
          <cell r="E97">
            <v>0</v>
          </cell>
          <cell r="F97">
            <v>8.6847892074621388E-2</v>
          </cell>
        </row>
        <row r="98">
          <cell r="B98" t="str">
            <v>Electric FAF w/ CAC - HZ23CZ23</v>
          </cell>
          <cell r="C98">
            <v>3.0407952417464763E-2</v>
          </cell>
          <cell r="D98">
            <v>0</v>
          </cell>
          <cell r="E98">
            <v>0</v>
          </cell>
          <cell r="F98">
            <v>6.4577174474630405E-2</v>
          </cell>
        </row>
        <row r="99">
          <cell r="B99" t="str">
            <v>Heat Pump - HZ1CZ1</v>
          </cell>
          <cell r="C99">
            <v>7.4095770994953139E-2</v>
          </cell>
          <cell r="D99">
            <v>1.0945836048995988E-3</v>
          </cell>
          <cell r="E99">
            <v>1.0945836048995988E-3</v>
          </cell>
          <cell r="F99">
            <v>0.11042200533666623</v>
          </cell>
        </row>
        <row r="100">
          <cell r="B100" t="str">
            <v>Heat Pump - HZ1CZ23</v>
          </cell>
          <cell r="C100">
            <v>0.1235678638282882</v>
          </cell>
          <cell r="D100">
            <v>4.9999998343195358E-2</v>
          </cell>
          <cell r="E100">
            <v>4.9999998343195358E-2</v>
          </cell>
          <cell r="F100">
            <v>0.3014354043468136</v>
          </cell>
        </row>
        <row r="101">
          <cell r="B101" t="str">
            <v>Heat Pump - HZ23CZ1</v>
          </cell>
          <cell r="C101">
            <v>0.11294117647058827</v>
          </cell>
          <cell r="D101">
            <v>0</v>
          </cell>
          <cell r="E101">
            <v>0</v>
          </cell>
          <cell r="F101">
            <v>1.6598912836278519E-2</v>
          </cell>
        </row>
        <row r="102">
          <cell r="B102" t="str">
            <v>Heat Pump - HZ23CZ23</v>
          </cell>
          <cell r="C102">
            <v>0</v>
          </cell>
          <cell r="D102">
            <v>0</v>
          </cell>
          <cell r="E102">
            <v>0</v>
          </cell>
          <cell r="F102">
            <v>7.8940309013942875E-2</v>
          </cell>
        </row>
        <row r="103">
          <cell r="B103" t="str">
            <v>Heat Pump - HZ1</v>
          </cell>
          <cell r="C103">
            <v>8.8458324594873558E-2</v>
          </cell>
          <cell r="D103">
            <v>1.2426879154171162E-2</v>
          </cell>
          <cell r="E103">
            <v>1.2426879154171162E-2</v>
          </cell>
          <cell r="F103">
            <v>0.20155463070325005</v>
          </cell>
        </row>
        <row r="104">
          <cell r="B104" t="str">
            <v>Heat Pump - HZ23</v>
          </cell>
          <cell r="C104">
            <v>9.6333066453162572E-2</v>
          </cell>
          <cell r="D104">
            <v>0</v>
          </cell>
          <cell r="E104">
            <v>0</v>
          </cell>
          <cell r="F104">
            <v>5.6279359348618191E-2</v>
          </cell>
        </row>
        <row r="105">
          <cell r="B105" t="str">
            <v>Heat Pump - Region</v>
          </cell>
          <cell r="C105">
            <v>8.9373362312324317E-2</v>
          </cell>
          <cell r="D105">
            <v>1.0692519922126772E-2</v>
          </cell>
          <cell r="E105">
            <v>1.0692519922126772E-2</v>
          </cell>
          <cell r="F105">
            <v>0.14791660671834839</v>
          </cell>
        </row>
        <row r="106">
          <cell r="B106" t="str">
            <v>Electric Zonal - HZ1CZ1</v>
          </cell>
          <cell r="C106">
            <v>6.1965327738795109E-2</v>
          </cell>
          <cell r="D106">
            <v>0.85383980263040493</v>
          </cell>
          <cell r="E106">
            <v>0.85383980263040493</v>
          </cell>
          <cell r="F106">
            <v>3.0024948086295324E-2</v>
          </cell>
        </row>
        <row r="107">
          <cell r="B107" t="str">
            <v>Electric Zonal - HZ1CZ23</v>
          </cell>
          <cell r="C107">
            <v>6.7430556561826104E-3</v>
          </cell>
          <cell r="D107">
            <v>0.73333333554240632</v>
          </cell>
          <cell r="E107">
            <v>0.73333333554240632</v>
          </cell>
          <cell r="F107">
            <v>2.9788775817665265E-2</v>
          </cell>
        </row>
        <row r="108">
          <cell r="B108" t="str">
            <v>Electric Zonal - HZ23CZ1</v>
          </cell>
          <cell r="C108">
            <v>1.4117647058823532E-2</v>
          </cell>
          <cell r="D108">
            <v>0.59999998409467525</v>
          </cell>
          <cell r="E108">
            <v>0.59999998409467525</v>
          </cell>
          <cell r="F108">
            <v>3.3197825672557038E-2</v>
          </cell>
        </row>
        <row r="109">
          <cell r="B109" t="str">
            <v>Electric Zonal - HZ23CZ23</v>
          </cell>
          <cell r="C109">
            <v>0</v>
          </cell>
          <cell r="D109">
            <v>0.77777778759587934</v>
          </cell>
          <cell r="E109">
            <v>0.77777778759587934</v>
          </cell>
          <cell r="F109">
            <v>3.9084849826646118E-2</v>
          </cell>
        </row>
        <row r="110">
          <cell r="B110" t="str">
            <v>Electric Zonal - HZ1</v>
          </cell>
          <cell r="C110">
            <v>2.0048426314096562E-2</v>
          </cell>
          <cell r="D110">
            <v>0.82591620954879041</v>
          </cell>
          <cell r="E110">
            <v>0.82591620954879041</v>
          </cell>
          <cell r="F110">
            <v>2.9912270132860779E-2</v>
          </cell>
        </row>
        <row r="111">
          <cell r="B111" t="str">
            <v>Electric Zonal - HZ23</v>
          </cell>
          <cell r="C111">
            <v>1.204163330664532E-2</v>
          </cell>
          <cell r="D111">
            <v>0.71428571563820797</v>
          </cell>
          <cell r="E111">
            <v>0.71428571563820797</v>
          </cell>
          <cell r="F111">
            <v>3.6944930507961368E-2</v>
          </cell>
        </row>
        <row r="112">
          <cell r="B112" t="str">
            <v>Electric Zonal - Region</v>
          </cell>
          <cell r="C112">
            <v>4.1178226016708668E-2</v>
          </cell>
          <cell r="D112">
            <v>0.81033648311148054</v>
          </cell>
          <cell r="E112">
            <v>0.81033648311148054</v>
          </cell>
          <cell r="F112">
            <v>3.2508844225339915E-2</v>
          </cell>
        </row>
        <row r="113">
          <cell r="B113" t="str">
            <v>DHP - HZ1CZ1</v>
          </cell>
          <cell r="C113">
            <v>0</v>
          </cell>
          <cell r="D113">
            <v>2.3692380398754449E-2</v>
          </cell>
          <cell r="E113">
            <v>2.3692380398754449E-2</v>
          </cell>
          <cell r="F113">
            <v>1.2931050080460879E-2</v>
          </cell>
        </row>
        <row r="114">
          <cell r="B114" t="str">
            <v>DHP - HZ1CZ23</v>
          </cell>
          <cell r="C114">
            <v>0</v>
          </cell>
          <cell r="D114">
            <v>0</v>
          </cell>
          <cell r="E114">
            <v>0</v>
          </cell>
          <cell r="F114">
            <v>0</v>
          </cell>
        </row>
        <row r="115">
          <cell r="B115" t="str">
            <v>DHP - HZ23CZ1</v>
          </cell>
          <cell r="C115">
            <v>0</v>
          </cell>
          <cell r="D115">
            <v>0</v>
          </cell>
          <cell r="E115">
            <v>0</v>
          </cell>
          <cell r="F115">
            <v>2.3801185576297144E-2</v>
          </cell>
        </row>
        <row r="116">
          <cell r="B116" t="str">
            <v>DHP - HZ23CZ23</v>
          </cell>
          <cell r="C116">
            <v>0</v>
          </cell>
          <cell r="D116">
            <v>0</v>
          </cell>
          <cell r="E116">
            <v>0</v>
          </cell>
          <cell r="F116">
            <v>9.4794076514498494E-3</v>
          </cell>
        </row>
        <row r="117">
          <cell r="B117" t="str">
            <v>DHP - HZ1</v>
          </cell>
          <cell r="C117">
            <v>0</v>
          </cell>
          <cell r="D117">
            <v>1.8202414545664333E-2</v>
          </cell>
          <cell r="E117">
            <v>1.8202414545664333E-2</v>
          </cell>
          <cell r="F117">
            <v>6.761637103748332E-3</v>
          </cell>
        </row>
        <row r="118">
          <cell r="B118" t="str">
            <v>DHP - HZ23</v>
          </cell>
          <cell r="C118">
            <v>0</v>
          </cell>
          <cell r="D118">
            <v>0</v>
          </cell>
          <cell r="E118">
            <v>0</v>
          </cell>
          <cell r="F118">
            <v>1.4685339962430082E-2</v>
          </cell>
        </row>
        <row r="119">
          <cell r="B119" t="str">
            <v>DHP - Region</v>
          </cell>
          <cell r="C119">
            <v>0</v>
          </cell>
          <cell r="D119">
            <v>1.5661991860200661E-2</v>
          </cell>
          <cell r="E119">
            <v>1.5661991860200661E-2</v>
          </cell>
          <cell r="F119">
            <v>9.6871987634867523E-3</v>
          </cell>
        </row>
      </sheetData>
      <sheetData sheetId="12">
        <row r="8">
          <cell r="B8" t="str">
            <v>Multifamily - Low Rise</v>
          </cell>
        </row>
        <row r="9">
          <cell r="B9" t="str">
            <v>Multifamily - High Rise</v>
          </cell>
        </row>
        <row r="10">
          <cell r="B10" t="str">
            <v>Manufactured</v>
          </cell>
        </row>
        <row r="12">
          <cell r="C12">
            <v>0</v>
          </cell>
          <cell r="D12">
            <v>0</v>
          </cell>
          <cell r="E12">
            <v>0</v>
          </cell>
          <cell r="F12">
            <v>0</v>
          </cell>
        </row>
      </sheetData>
      <sheetData sheetId="13">
        <row r="8">
          <cell r="B8" t="str">
            <v>forced air furnace saturation in heating zone 2&amp;3 cooling zone 1</v>
          </cell>
          <cell r="C8">
            <v>3</v>
          </cell>
        </row>
        <row r="9">
          <cell r="B9" t="str">
            <v>forced air furnace saturation in heating zone 2&amp;3 cooling zone 2&amp;3</v>
          </cell>
          <cell r="C9">
            <v>4</v>
          </cell>
        </row>
        <row r="10">
          <cell r="B10" t="str">
            <v>forced air furnace saturation in heating zone 1</v>
          </cell>
          <cell r="C10">
            <v>5</v>
          </cell>
        </row>
        <row r="11">
          <cell r="B11" t="str">
            <v>forced air furnace saturation in heating zone 2&amp;3</v>
          </cell>
          <cell r="C11">
            <v>6</v>
          </cell>
        </row>
        <row r="12">
          <cell r="B12" t="str">
            <v>forced air furnace saturation across region</v>
          </cell>
        </row>
        <row r="13">
          <cell r="B13" t="str">
            <v>forced air furnace saturation w/CAC in heating zone 1 cooling zone 1</v>
          </cell>
          <cell r="C13">
            <v>8</v>
          </cell>
        </row>
        <row r="14">
          <cell r="B14" t="str">
            <v>forced air furnace saturation w/CAC in heating zone 1 cooling zone 2&amp;3</v>
          </cell>
          <cell r="C14">
            <v>9</v>
          </cell>
        </row>
        <row r="15">
          <cell r="B15" t="str">
            <v>forced air furnace saturation w/CAC in heating zone 2&amp;3 cooling zone 1</v>
          </cell>
          <cell r="C15">
            <v>10</v>
          </cell>
        </row>
        <row r="16">
          <cell r="B16" t="str">
            <v>forced air furnace saturation w/CAC in heating zone 2&amp;3 cooling zone 2&amp;3</v>
          </cell>
          <cell r="C16">
            <v>11</v>
          </cell>
        </row>
        <row r="17">
          <cell r="B17" t="str">
            <v>air source heat pump saturation in heating zone 1 cooling zone 1</v>
          </cell>
          <cell r="C17">
            <v>12</v>
          </cell>
        </row>
        <row r="18">
          <cell r="B18" t="str">
            <v>air source heat pump saturation in heating zone 1 cooling zone 2&amp;3</v>
          </cell>
          <cell r="C18">
            <v>13</v>
          </cell>
        </row>
        <row r="19">
          <cell r="B19" t="str">
            <v>air source heat pump saturation in heating zone 2&amp;3 cooling zone 1</v>
          </cell>
          <cell r="C19">
            <v>14</v>
          </cell>
        </row>
        <row r="20">
          <cell r="B20" t="str">
            <v>air source heat pump saturation in heating zone 2&amp;3 cooling zone 2&amp;3</v>
          </cell>
          <cell r="C20">
            <v>15</v>
          </cell>
        </row>
        <row r="21">
          <cell r="B21" t="str">
            <v>air source heat pump saturation in heating zone 1</v>
          </cell>
        </row>
        <row r="22">
          <cell r="B22" t="str">
            <v>air source heat pump saturation in heating zone 2&amp;3</v>
          </cell>
        </row>
        <row r="23">
          <cell r="B23" t="str">
            <v>air source heat pump saturation across region</v>
          </cell>
        </row>
        <row r="24">
          <cell r="B24" t="str">
            <v>forced air furnace saturation in heating zone 1 cooling zone 1</v>
          </cell>
          <cell r="C24">
            <v>19</v>
          </cell>
        </row>
        <row r="25">
          <cell r="B25" t="str">
            <v>forced air furnace saturation in heating zone 1 cooling zone 2&amp;3</v>
          </cell>
          <cell r="C25">
            <v>20</v>
          </cell>
        </row>
        <row r="26">
          <cell r="B26" t="str">
            <v>forced air furnace saturation in heating zone 2&amp;3 cooling zone 1</v>
          </cell>
          <cell r="C26">
            <v>21</v>
          </cell>
        </row>
        <row r="27">
          <cell r="B27" t="str">
            <v>forced air furnace saturation in heating zone 2&amp;3 cooling zone 2&amp;3</v>
          </cell>
          <cell r="C27">
            <v>22</v>
          </cell>
        </row>
        <row r="28">
          <cell r="B28" t="str">
            <v>forced air furnace saturation in heating zone 1</v>
          </cell>
          <cell r="C28">
            <v>23</v>
          </cell>
        </row>
        <row r="29">
          <cell r="B29" t="str">
            <v>forced air furnace saturation in heating zone 2&amp;3</v>
          </cell>
          <cell r="C29">
            <v>24</v>
          </cell>
        </row>
        <row r="30">
          <cell r="B30" t="str">
            <v>forced air furnace saturation across region</v>
          </cell>
        </row>
        <row r="31">
          <cell r="B31" t="str">
            <v>ductless heat pump saturation in heating zone 1 cooling zone 1</v>
          </cell>
          <cell r="C31">
            <v>26</v>
          </cell>
        </row>
        <row r="32">
          <cell r="B32" t="str">
            <v>ductless heat pump saturation in heating zone 1 cooling zone 2&amp;3</v>
          </cell>
          <cell r="C32">
            <v>27</v>
          </cell>
        </row>
        <row r="33">
          <cell r="B33" t="str">
            <v>ductless heat pump saturation in heating zone 2&amp;3 cooling zone 1</v>
          </cell>
          <cell r="C33">
            <v>28</v>
          </cell>
        </row>
        <row r="34">
          <cell r="B34" t="str">
            <v>ductless heat pump saturation in heating zone 2&amp;3 cooling zone 2&amp;3</v>
          </cell>
          <cell r="C34">
            <v>29</v>
          </cell>
        </row>
        <row r="35">
          <cell r="B35" t="str">
            <v>ductless heat pump saturation in heating zone 1</v>
          </cell>
          <cell r="C35">
            <v>30</v>
          </cell>
        </row>
        <row r="36">
          <cell r="B36" t="str">
            <v>ductless heat pump saturation in heating zone 2&amp;3</v>
          </cell>
          <cell r="C36">
            <v>31</v>
          </cell>
        </row>
        <row r="37">
          <cell r="B37" t="str">
            <v>ductless heat pump saturation across region</v>
          </cell>
        </row>
        <row r="38">
          <cell r="B38" t="str">
            <v>central air conditioner saturation in cooling zone 1</v>
          </cell>
          <cell r="C38">
            <v>33</v>
          </cell>
        </row>
        <row r="39">
          <cell r="B39" t="str">
            <v>central air conditioner saturation in cooling zone 2&amp;3</v>
          </cell>
          <cell r="C39">
            <v>34</v>
          </cell>
        </row>
        <row r="40">
          <cell r="B40" t="str">
            <v>room air conditioner saturation in cooling zone 1</v>
          </cell>
          <cell r="C40">
            <v>35</v>
          </cell>
        </row>
        <row r="41">
          <cell r="B41" t="str">
            <v>room air conditioner saturation in cooling zone 2&amp;3</v>
          </cell>
          <cell r="C41">
            <v>36</v>
          </cell>
        </row>
        <row r="42">
          <cell r="B42" t="str">
            <v>Electric water heater saturation in region</v>
          </cell>
        </row>
        <row r="43">
          <cell r="B43" t="str">
            <v>Electric water heater &lt; 55 gal inside conditioned space</v>
          </cell>
          <cell r="C43">
            <v>38</v>
          </cell>
        </row>
        <row r="44">
          <cell r="B44" t="str">
            <v>Electric water heater &lt; 55 gal in buffered space</v>
          </cell>
          <cell r="C44">
            <v>39</v>
          </cell>
        </row>
        <row r="45">
          <cell r="B45" t="str">
            <v>Electric water heater &lt; 55 gal in unbuffered space</v>
          </cell>
        </row>
        <row r="46">
          <cell r="B46" t="str">
            <v>Electric water heater &gt;= 55 gal inside conditioned space</v>
          </cell>
          <cell r="C46">
            <v>41</v>
          </cell>
        </row>
        <row r="47">
          <cell r="B47" t="str">
            <v>Electric water heater &gt;= 55 gal in buffered space</v>
          </cell>
          <cell r="C47">
            <v>42</v>
          </cell>
        </row>
        <row r="48">
          <cell r="B48" t="str">
            <v>Electric water heater &gt;= 55 gal in unbuffered space</v>
          </cell>
        </row>
        <row r="49">
          <cell r="B49" t="str">
            <v>Saturation of Refrigerator in homes</v>
          </cell>
          <cell r="C49">
            <v>44</v>
          </cell>
        </row>
        <row r="50">
          <cell r="B50" t="str">
            <v>Saturation of Freezer in homes</v>
          </cell>
          <cell r="C50">
            <v>45</v>
          </cell>
        </row>
        <row r="51">
          <cell r="B51" t="str">
            <v>Saturation of Clothes Washer in homes</v>
          </cell>
          <cell r="C51">
            <v>46</v>
          </cell>
        </row>
        <row r="52">
          <cell r="B52" t="str">
            <v>Saturation of Clothes Dryer in homes</v>
          </cell>
          <cell r="C52">
            <v>47</v>
          </cell>
        </row>
        <row r="53">
          <cell r="B53" t="str">
            <v>Saturation of Dishwasher in homes</v>
          </cell>
          <cell r="C53">
            <v>48</v>
          </cell>
        </row>
        <row r="54">
          <cell r="B54" t="str">
            <v>Saturation of Microwave in homes</v>
          </cell>
          <cell r="C54">
            <v>49</v>
          </cell>
        </row>
        <row r="55">
          <cell r="B55" t="str">
            <v>Saturation of Electric Oven in homes</v>
          </cell>
          <cell r="C55">
            <v>50</v>
          </cell>
        </row>
        <row r="56">
          <cell r="B56" t="str">
            <v>Saturation of TV in homes</v>
          </cell>
          <cell r="C56">
            <v>51</v>
          </cell>
        </row>
        <row r="57">
          <cell r="B57" t="str">
            <v>Saturation of Set top box in homes</v>
          </cell>
          <cell r="C57">
            <v>52</v>
          </cell>
        </row>
        <row r="58">
          <cell r="B58" t="str">
            <v>Saturation of Computer in homes</v>
          </cell>
          <cell r="C58">
            <v>53</v>
          </cell>
        </row>
        <row r="59">
          <cell r="B59" t="str">
            <v>Saturation of Monitor in homes</v>
          </cell>
          <cell r="C59">
            <v>54</v>
          </cell>
        </row>
        <row r="60">
          <cell r="B60" t="str">
            <v>Saturation of EISA-nonexempt bulbs in homes</v>
          </cell>
          <cell r="C60">
            <v>55</v>
          </cell>
        </row>
        <row r="61">
          <cell r="B61" t="str">
            <v>Saturation of EISA-exempt bulbs in homes</v>
          </cell>
          <cell r="C61">
            <v>56</v>
          </cell>
        </row>
        <row r="62">
          <cell r="B62" t="str">
            <v>Average square feet of walls</v>
          </cell>
        </row>
        <row r="63">
          <cell r="B63" t="str">
            <v>Average square feet of attic</v>
          </cell>
        </row>
        <row r="64">
          <cell r="B64" t="str">
            <v>Average square feet of floors</v>
          </cell>
        </row>
        <row r="65">
          <cell r="B65" t="str">
            <v>Average square feet of windows</v>
          </cell>
        </row>
        <row r="66">
          <cell r="B66" t="str">
            <v>Averagetotal square feet of homes</v>
          </cell>
        </row>
        <row r="67">
          <cell r="B67" t="str">
            <v>Number of bulbs per house</v>
          </cell>
        </row>
      </sheetData>
      <sheetData sheetId="14">
        <row r="8">
          <cell r="B8" t="str">
            <v>Workshop</v>
          </cell>
          <cell r="C8" t="str">
            <v>Other</v>
          </cell>
          <cell r="D8" t="str">
            <v>Other</v>
          </cell>
          <cell r="E8" t="str">
            <v>Other</v>
          </cell>
        </row>
        <row r="9">
          <cell r="B9" t="str">
            <v>Skilled Nursing</v>
          </cell>
        </row>
        <row r="10">
          <cell r="B10" t="str">
            <v>Warehouse</v>
          </cell>
        </row>
        <row r="11">
          <cell r="B11" t="str">
            <v>Other</v>
          </cell>
        </row>
        <row r="13">
          <cell r="D13" t="str">
            <v>Characteristics</v>
          </cell>
        </row>
        <row r="14">
          <cell r="C14" t="str">
            <v>NPPC BUILDTYPE</v>
          </cell>
          <cell r="D14" t="str">
            <v>Primary Activity</v>
          </cell>
          <cell r="E14" t="str">
            <v>Gross Floor Area</v>
          </cell>
          <cell r="F14" t="str">
            <v>Number of Stories</v>
          </cell>
        </row>
        <row r="15">
          <cell r="C15" t="str">
            <v>Large Off</v>
          </cell>
          <cell r="D15" t="str">
            <v>Office</v>
          </cell>
          <cell r="E15" t="str">
            <v>&gt; 100,000</v>
          </cell>
          <cell r="F15" t="str">
            <v>Any</v>
          </cell>
        </row>
        <row r="16">
          <cell r="C16" t="str">
            <v>Medium Off</v>
          </cell>
          <cell r="D16" t="str">
            <v>Office</v>
          </cell>
          <cell r="E16" t="str">
            <v>20,000 to 100,000</v>
          </cell>
          <cell r="F16" t="str">
            <v>Any</v>
          </cell>
        </row>
        <row r="17">
          <cell r="C17" t="str">
            <v>Small Off</v>
          </cell>
          <cell r="D17" t="str">
            <v>Office</v>
          </cell>
          <cell r="E17" t="str">
            <v>&lt; 20,000</v>
          </cell>
          <cell r="F17" t="str">
            <v>Any</v>
          </cell>
        </row>
        <row r="18">
          <cell r="C18" t="str">
            <v>Big Box</v>
          </cell>
          <cell r="D18" t="str">
            <v>Retail</v>
          </cell>
          <cell r="E18" t="str">
            <v>&gt; 50,000</v>
          </cell>
          <cell r="F18">
            <v>1</v>
          </cell>
        </row>
        <row r="19">
          <cell r="C19" t="str">
            <v>Small Box</v>
          </cell>
          <cell r="D19" t="str">
            <v>Retail</v>
          </cell>
          <cell r="E19" t="str">
            <v>&lt;50,000</v>
          </cell>
          <cell r="F19">
            <v>1</v>
          </cell>
        </row>
        <row r="20">
          <cell r="C20" t="str">
            <v>High End</v>
          </cell>
          <cell r="D20" t="str">
            <v>Retail</v>
          </cell>
          <cell r="E20" t="str">
            <v>&lt; 20,000</v>
          </cell>
          <cell r="F20">
            <v>1</v>
          </cell>
        </row>
        <row r="21">
          <cell r="C21" t="str">
            <v>Anchor</v>
          </cell>
          <cell r="D21" t="str">
            <v>Retail</v>
          </cell>
          <cell r="E21" t="str">
            <v>&gt; 50,000</v>
          </cell>
          <cell r="F21" t="str">
            <v>&gt;1</v>
          </cell>
        </row>
        <row r="22">
          <cell r="C22" t="str">
            <v>K-12</v>
          </cell>
          <cell r="D22" t="str">
            <v>School</v>
          </cell>
          <cell r="E22" t="str">
            <v>Any</v>
          </cell>
          <cell r="F22" t="str">
            <v>Any</v>
          </cell>
        </row>
        <row r="23">
          <cell r="C23" t="str">
            <v>University</v>
          </cell>
          <cell r="D23" t="str">
            <v>School</v>
          </cell>
          <cell r="E23" t="str">
            <v>Any</v>
          </cell>
          <cell r="F23" t="str">
            <v>Any</v>
          </cell>
        </row>
        <row r="24">
          <cell r="C24" t="str">
            <v>Warehouse</v>
          </cell>
          <cell r="D24" t="str">
            <v>Warehouse</v>
          </cell>
          <cell r="E24" t="str">
            <v>Any</v>
          </cell>
          <cell r="F24" t="str">
            <v>Any</v>
          </cell>
        </row>
        <row r="25">
          <cell r="C25" t="str">
            <v>Supermarket</v>
          </cell>
          <cell r="D25" t="str">
            <v>Retail Food</v>
          </cell>
          <cell r="E25" t="str">
            <v>&gt; 5000</v>
          </cell>
          <cell r="F25" t="str">
            <v>Any</v>
          </cell>
        </row>
        <row r="26">
          <cell r="C26" t="str">
            <v>MIniMart</v>
          </cell>
          <cell r="D26" t="str">
            <v>Retail Food</v>
          </cell>
          <cell r="E26" t="str">
            <v>&lt;= 5000</v>
          </cell>
          <cell r="F26" t="str">
            <v>Any</v>
          </cell>
        </row>
        <row r="27">
          <cell r="C27" t="str">
            <v>Restaurant</v>
          </cell>
          <cell r="D27" t="str">
            <v>Retail Food</v>
          </cell>
          <cell r="E27" t="str">
            <v>Any</v>
          </cell>
          <cell r="F27" t="str">
            <v>Any</v>
          </cell>
        </row>
        <row r="28">
          <cell r="C28" t="str">
            <v>Lodging</v>
          </cell>
          <cell r="D28" t="str">
            <v>Lodging</v>
          </cell>
          <cell r="E28" t="str">
            <v>Any</v>
          </cell>
          <cell r="F28" t="str">
            <v>Any</v>
          </cell>
        </row>
        <row r="29">
          <cell r="C29" t="str">
            <v>Hospital</v>
          </cell>
          <cell r="D29" t="str">
            <v>Health Care</v>
          </cell>
          <cell r="E29" t="str">
            <v>Any</v>
          </cell>
          <cell r="F29" t="str">
            <v>Any</v>
          </cell>
        </row>
        <row r="30">
          <cell r="C30" t="str">
            <v>OtherHealth</v>
          </cell>
          <cell r="D30" t="str">
            <v>Health Care</v>
          </cell>
          <cell r="E30" t="str">
            <v>Any</v>
          </cell>
          <cell r="F30" t="str">
            <v>Any</v>
          </cell>
        </row>
        <row r="31">
          <cell r="C31" t="str">
            <v>Other</v>
          </cell>
          <cell r="D31" t="str">
            <v>Other</v>
          </cell>
          <cell r="E31" t="str">
            <v>Any</v>
          </cell>
          <cell r="F31" t="str">
            <v>Any</v>
          </cell>
        </row>
      </sheetData>
      <sheetData sheetId="15">
        <row r="8">
          <cell r="C8" t="str">
            <v>OR new homes</v>
          </cell>
        </row>
        <row r="9">
          <cell r="C9" t="str">
            <v>OR existing homes</v>
          </cell>
        </row>
        <row r="10">
          <cell r="C10" t="str">
            <v>WA new homes</v>
          </cell>
        </row>
        <row r="11">
          <cell r="C11" t="str">
            <v>WA existing homes</v>
          </cell>
        </row>
        <row r="12">
          <cell r="C12" t="str">
            <v>Region new homes</v>
          </cell>
        </row>
        <row r="13">
          <cell r="C13" t="str">
            <v>Region existing homes</v>
          </cell>
        </row>
      </sheetData>
      <sheetData sheetId="16">
        <row r="8">
          <cell r="B8" t="str">
            <v>Electric FAF - HZ1</v>
          </cell>
        </row>
        <row r="9">
          <cell r="B9" t="str">
            <v>Electric FAF - HZ23</v>
          </cell>
        </row>
        <row r="10">
          <cell r="B10" t="str">
            <v>Electric FAF - Region</v>
          </cell>
        </row>
        <row r="11">
          <cell r="B11" t="str">
            <v>Electric FAF w/ CAC - HZ1CZ1</v>
          </cell>
        </row>
        <row r="12">
          <cell r="B12" t="str">
            <v>Electric FAF w/ CAC - HZ1CZ23</v>
          </cell>
        </row>
        <row r="13">
          <cell r="B13" t="str">
            <v>Electric FAF w/ CAC - HZ23CZ1</v>
          </cell>
        </row>
        <row r="14">
          <cell r="B14" t="str">
            <v>Electric FAF w/ CAC - HZ23CZ23</v>
          </cell>
        </row>
        <row r="15">
          <cell r="B15" t="str">
            <v>Heat Pump - HZ1CZ1</v>
          </cell>
        </row>
        <row r="16">
          <cell r="B16" t="str">
            <v>Heat Pump - HZ1CZ23</v>
          </cell>
        </row>
        <row r="17">
          <cell r="B17" t="str">
            <v>Heat Pump - HZ23CZ1</v>
          </cell>
        </row>
        <row r="18">
          <cell r="B18" t="str">
            <v>Heat Pump - HZ23CZ23</v>
          </cell>
        </row>
        <row r="19">
          <cell r="B19" t="str">
            <v>Heat Pump - HZ1</v>
          </cell>
        </row>
        <row r="20">
          <cell r="B20" t="str">
            <v>Heat Pump - HZ23</v>
          </cell>
        </row>
        <row r="21">
          <cell r="B21" t="str">
            <v>Heat Pump - Region</v>
          </cell>
        </row>
        <row r="22">
          <cell r="B22" t="str">
            <v>Electric Zonal - HZ1CZ1</v>
          </cell>
        </row>
        <row r="23">
          <cell r="B23" t="str">
            <v>Electric Zonal - HZ1CZ23</v>
          </cell>
        </row>
        <row r="24">
          <cell r="B24" t="str">
            <v>Electric Zonal - HZ23CZ1</v>
          </cell>
        </row>
        <row r="25">
          <cell r="B25" t="str">
            <v>Electric Zonal - HZ23CZ23</v>
          </cell>
        </row>
        <row r="26">
          <cell r="B26" t="str">
            <v>Electric Zonal - HZ1</v>
          </cell>
        </row>
        <row r="27">
          <cell r="B27" t="str">
            <v>Electric Zonal - HZ23</v>
          </cell>
        </row>
        <row r="28">
          <cell r="B28" t="str">
            <v>Electric Zonal - Region</v>
          </cell>
        </row>
        <row r="29">
          <cell r="B29" t="str">
            <v>DHP - HZ1CZ1</v>
          </cell>
        </row>
        <row r="30">
          <cell r="B30" t="str">
            <v>DHP - HZ1CZ23</v>
          </cell>
        </row>
        <row r="31">
          <cell r="B31" t="str">
            <v>DHP - HZ23CZ1</v>
          </cell>
        </row>
        <row r="32">
          <cell r="B32" t="str">
            <v>DHP - HZ23CZ23</v>
          </cell>
        </row>
        <row r="33">
          <cell r="B33" t="str">
            <v>DHP - HZ1</v>
          </cell>
        </row>
        <row r="34">
          <cell r="B34" t="str">
            <v>DHP - HZ23</v>
          </cell>
        </row>
        <row r="35">
          <cell r="B35" t="str">
            <v>DHP - Region</v>
          </cell>
        </row>
        <row r="36">
          <cell r="B36" t="str">
            <v>Central AC - CZ1</v>
          </cell>
        </row>
        <row r="37">
          <cell r="B37" t="str">
            <v>Central AC - CZ23</v>
          </cell>
        </row>
        <row r="38">
          <cell r="B38" t="str">
            <v>Room A/C - CZ1</v>
          </cell>
        </row>
        <row r="39">
          <cell r="B39" t="str">
            <v>Room A/C - CZ23</v>
          </cell>
        </row>
        <row r="40">
          <cell r="B40" t="str">
            <v>DWH &lt;55 inside</v>
          </cell>
        </row>
        <row r="41">
          <cell r="B41" t="str">
            <v>DHW &lt;55 outside buffer</v>
          </cell>
        </row>
        <row r="42">
          <cell r="B42" t="str">
            <v>DHW &lt; 55 outside unbuffer</v>
          </cell>
        </row>
        <row r="43">
          <cell r="B43" t="str">
            <v>DHW &gt;55 inside</v>
          </cell>
        </row>
        <row r="44">
          <cell r="B44" t="str">
            <v>DHW &gt;55 outside buffer</v>
          </cell>
        </row>
        <row r="45">
          <cell r="B45" t="str">
            <v>DHW &gt;55 outside unbuffer</v>
          </cell>
        </row>
        <row r="46">
          <cell r="B46" t="str">
            <v>Refrigerator</v>
          </cell>
        </row>
        <row r="47">
          <cell r="B47" t="str">
            <v>Freezer</v>
          </cell>
        </row>
        <row r="48">
          <cell r="B48" t="str">
            <v>Clothes Washer</v>
          </cell>
        </row>
        <row r="49">
          <cell r="B49" t="str">
            <v>Clothes Dryer</v>
          </cell>
        </row>
        <row r="50">
          <cell r="B50" t="str">
            <v>Dishwasher</v>
          </cell>
        </row>
        <row r="51">
          <cell r="B51" t="str">
            <v>Microwave</v>
          </cell>
        </row>
        <row r="52">
          <cell r="B52" t="str">
            <v>Electric Oven</v>
          </cell>
        </row>
        <row r="53">
          <cell r="B53" t="str">
            <v>Computer</v>
          </cell>
        </row>
        <row r="54">
          <cell r="B54" t="str">
            <v>Monitor</v>
          </cell>
        </row>
        <row r="55">
          <cell r="B55" t="str">
            <v>EISA nx</v>
          </cell>
        </row>
        <row r="56">
          <cell r="B56" t="str">
            <v>EISA x</v>
          </cell>
        </row>
        <row r="57">
          <cell r="B57" t="str">
            <v>WallSqft</v>
          </cell>
        </row>
        <row r="58">
          <cell r="B58" t="str">
            <v>AtticSqft</v>
          </cell>
        </row>
        <row r="59">
          <cell r="B59" t="str">
            <v>FloorSqft</v>
          </cell>
        </row>
        <row r="60">
          <cell r="B60" t="str">
            <v>WindowSqft</v>
          </cell>
        </row>
        <row r="61">
          <cell r="B61" t="str">
            <v>HomeSqft</v>
          </cell>
        </row>
        <row r="62">
          <cell r="B62" t="str">
            <v>Lighting</v>
          </cell>
        </row>
        <row r="63">
          <cell r="B63">
            <v>0</v>
          </cell>
        </row>
        <row r="64">
          <cell r="B64">
            <v>0</v>
          </cell>
        </row>
        <row r="65">
          <cell r="B65">
            <v>0</v>
          </cell>
        </row>
        <row r="66">
          <cell r="B66">
            <v>0</v>
          </cell>
        </row>
        <row r="67">
          <cell r="B67">
            <v>0</v>
          </cell>
        </row>
        <row r="68">
          <cell r="B68">
            <v>0</v>
          </cell>
        </row>
      </sheetData>
      <sheetData sheetId="17">
        <row r="8">
          <cell r="B8" t="str">
            <v>HVAC</v>
          </cell>
          <cell r="C8" t="str">
            <v>Envelope</v>
          </cell>
          <cell r="D8" t="str">
            <v>Insulation</v>
          </cell>
          <cell r="E8" t="str">
            <v>Attic Insulation</v>
          </cell>
          <cell r="F8" t="str">
            <v>Low/No insulation</v>
          </cell>
        </row>
        <row r="9">
          <cell r="B9" t="str">
            <v>HVAC</v>
          </cell>
          <cell r="C9" t="str">
            <v>Envelope</v>
          </cell>
          <cell r="D9" t="str">
            <v>Insulation</v>
          </cell>
          <cell r="E9" t="str">
            <v>Wall Insulation</v>
          </cell>
          <cell r="F9" t="str">
            <v>Low/No insulation</v>
          </cell>
        </row>
        <row r="10">
          <cell r="B10" t="str">
            <v>HVAC</v>
          </cell>
          <cell r="C10" t="str">
            <v>Envelope</v>
          </cell>
          <cell r="D10" t="str">
            <v>Insulation</v>
          </cell>
          <cell r="E10" t="str">
            <v xml:space="preserve">Floor Insulation </v>
          </cell>
          <cell r="F10" t="str">
            <v>Low/No insulation</v>
          </cell>
        </row>
        <row r="11">
          <cell r="B11" t="str">
            <v>HVAC</v>
          </cell>
          <cell r="C11" t="str">
            <v>Envelope</v>
          </cell>
          <cell r="D11" t="str">
            <v>Insulation</v>
          </cell>
          <cell r="E11" t="str">
            <v>Windows</v>
          </cell>
          <cell r="F11" t="str">
            <v>Single/Double Pane</v>
          </cell>
        </row>
        <row r="12">
          <cell r="B12" t="str">
            <v>HVAC</v>
          </cell>
          <cell r="C12" t="str">
            <v>Envelope</v>
          </cell>
          <cell r="D12" t="str">
            <v>Insulation</v>
          </cell>
          <cell r="E12" t="str">
            <v>Infiltration</v>
          </cell>
          <cell r="F12" t="str">
            <v>High leakage</v>
          </cell>
        </row>
        <row r="13">
          <cell r="B13" t="str">
            <v>HVAC</v>
          </cell>
          <cell r="C13" t="str">
            <v>Envelope</v>
          </cell>
          <cell r="D13" t="str">
            <v>Insulation</v>
          </cell>
          <cell r="E13" t="str">
            <v>Attic Insulation</v>
          </cell>
          <cell r="F13" t="str">
            <v>Code-avg</v>
          </cell>
        </row>
        <row r="14">
          <cell r="B14" t="str">
            <v>HVAC</v>
          </cell>
          <cell r="C14" t="str">
            <v>Envelope</v>
          </cell>
          <cell r="D14" t="str">
            <v>Insulation</v>
          </cell>
          <cell r="E14" t="str">
            <v>Wall Insulation</v>
          </cell>
          <cell r="F14" t="str">
            <v>Code-avg</v>
          </cell>
        </row>
        <row r="15">
          <cell r="B15" t="str">
            <v>HVAC</v>
          </cell>
          <cell r="C15" t="str">
            <v>Envelope</v>
          </cell>
          <cell r="D15" t="str">
            <v>Insulation</v>
          </cell>
          <cell r="E15" t="str">
            <v xml:space="preserve">Floor Insulation </v>
          </cell>
          <cell r="F15" t="str">
            <v>Code-avg</v>
          </cell>
        </row>
        <row r="16">
          <cell r="B16" t="str">
            <v>HVAC</v>
          </cell>
          <cell r="C16" t="str">
            <v>Envelope</v>
          </cell>
          <cell r="D16" t="str">
            <v>Insulation</v>
          </cell>
          <cell r="E16" t="str">
            <v>Windows</v>
          </cell>
          <cell r="F16" t="str">
            <v>Code-avg</v>
          </cell>
        </row>
        <row r="17">
          <cell r="B17" t="str">
            <v>HVAC</v>
          </cell>
          <cell r="C17" t="str">
            <v>Envelope</v>
          </cell>
          <cell r="D17" t="str">
            <v>Insulation</v>
          </cell>
          <cell r="E17" t="str">
            <v>Infiltration</v>
          </cell>
          <cell r="F17" t="str">
            <v>Code-avg</v>
          </cell>
        </row>
        <row r="18">
          <cell r="B18" t="str">
            <v>HVAC</v>
          </cell>
          <cell r="C18" t="str">
            <v>Heat Recovery</v>
          </cell>
          <cell r="D18" t="str">
            <v>Heat Recovery Improvements</v>
          </cell>
          <cell r="E18" t="str">
            <v>HRV</v>
          </cell>
          <cell r="F18" t="str">
            <v>Natural Ventilation</v>
          </cell>
        </row>
        <row r="19">
          <cell r="B19" t="str">
            <v>HVAC</v>
          </cell>
          <cell r="C19" t="str">
            <v>HVAC System</v>
          </cell>
          <cell r="D19" t="str">
            <v>Variable Speed Heat Pumps</v>
          </cell>
          <cell r="E19" t="str">
            <v>VS ASHP 12.0 HSPF/18 SEER + PTCS</v>
          </cell>
          <cell r="F19" t="str">
            <v>8.5HSPF/14SEER</v>
          </cell>
        </row>
        <row r="20">
          <cell r="B20" t="str">
            <v>HVAC</v>
          </cell>
          <cell r="C20" t="str">
            <v>HVAC System</v>
          </cell>
          <cell r="D20" t="str">
            <v>Air Source Heat Pump</v>
          </cell>
          <cell r="E20" t="str">
            <v>ASHP 9.0 HSPF/14 SEER</v>
          </cell>
          <cell r="F20" t="str">
            <v>8.5HSPF/14SEER</v>
          </cell>
        </row>
        <row r="21">
          <cell r="B21" t="str">
            <v>HVAC</v>
          </cell>
          <cell r="C21" t="str">
            <v>HVAC System</v>
          </cell>
          <cell r="D21" t="str">
            <v>Air Source Heat Pump</v>
          </cell>
          <cell r="E21" t="str">
            <v>ASHP 8.5 HSPF/14 SEER</v>
          </cell>
          <cell r="F21" t="str">
            <v>Electric FAF</v>
          </cell>
        </row>
        <row r="22">
          <cell r="B22" t="str">
            <v>HVAC</v>
          </cell>
          <cell r="C22" t="str">
            <v>HVAC System</v>
          </cell>
          <cell r="D22" t="str">
            <v>Ductless Heat Pump</v>
          </cell>
          <cell r="E22" t="str">
            <v>DHP 9.5 HSPF</v>
          </cell>
          <cell r="F22" t="str">
            <v>Zonal</v>
          </cell>
        </row>
        <row r="23">
          <cell r="B23" t="str">
            <v>HVAC</v>
          </cell>
          <cell r="C23" t="str">
            <v>HVAC System</v>
          </cell>
          <cell r="D23" t="str">
            <v>Ductless Heat Pump</v>
          </cell>
          <cell r="E23" t="str">
            <v>DHP 9.5 HSPF</v>
          </cell>
          <cell r="F23" t="str">
            <v>Electric FAF</v>
          </cell>
        </row>
        <row r="24">
          <cell r="B24" t="str">
            <v>HVAC</v>
          </cell>
          <cell r="C24" t="str">
            <v>HVAC System</v>
          </cell>
          <cell r="D24" t="str">
            <v>Duct Sealing</v>
          </cell>
          <cell r="E24" t="str">
            <v>PTCS-level sealing</v>
          </cell>
          <cell r="F24" t="str">
            <v>Leaky ducts</v>
          </cell>
        </row>
        <row r="25">
          <cell r="B25" t="str">
            <v>HVAC</v>
          </cell>
          <cell r="C25" t="str">
            <v>HVAC System</v>
          </cell>
          <cell r="D25" t="str">
            <v>Furnace Fan</v>
          </cell>
          <cell r="E25" t="str">
            <v>BPM motor</v>
          </cell>
          <cell r="F25" t="str">
            <v>PSC motor</v>
          </cell>
        </row>
        <row r="26">
          <cell r="B26" t="str">
            <v>HVAC</v>
          </cell>
          <cell r="C26" t="str">
            <v>HVAC System</v>
          </cell>
          <cell r="D26" t="str">
            <v>Whole House Fan</v>
          </cell>
          <cell r="E26" t="str">
            <v>Whole House Fan</v>
          </cell>
          <cell r="F26" t="str">
            <v>No Fan</v>
          </cell>
        </row>
        <row r="27">
          <cell r="B27" t="str">
            <v>HVAC</v>
          </cell>
          <cell r="C27" t="str">
            <v>HVAC System Controls</v>
          </cell>
          <cell r="D27" t="str">
            <v>Thermostats</v>
          </cell>
          <cell r="E27" t="str">
            <v>WIFI enabled tstats</v>
          </cell>
          <cell r="F27" t="str">
            <v>Manual thermostat</v>
          </cell>
        </row>
        <row r="28">
          <cell r="B28" t="str">
            <v>HVAC/Water Heating</v>
          </cell>
          <cell r="C28" t="str">
            <v>HVAC System/Water Heaters</v>
          </cell>
          <cell r="D28" t="str">
            <v>Combo DHP/HPWH units</v>
          </cell>
          <cell r="E28" t="str">
            <v>DHP + HPWH</v>
          </cell>
          <cell r="F28" t="str">
            <v>ER space heat/0.95 EF WH</v>
          </cell>
        </row>
        <row r="29">
          <cell r="B29" t="str">
            <v>Lighting</v>
          </cell>
          <cell r="C29" t="str">
            <v>Lamps/Fixtures</v>
          </cell>
          <cell r="D29" t="str">
            <v>Lamps</v>
          </cell>
          <cell r="E29" t="str">
            <v>LED/CFL Standard</v>
          </cell>
          <cell r="F29" t="str">
            <v>EISA 2014 &amp; 2020</v>
          </cell>
        </row>
        <row r="30">
          <cell r="B30" t="str">
            <v>Lighting</v>
          </cell>
          <cell r="C30" t="str">
            <v>Lamps/Fixtures</v>
          </cell>
          <cell r="D30" t="str">
            <v>Lamps</v>
          </cell>
          <cell r="E30" t="str">
            <v>LED/CFL Specialty</v>
          </cell>
          <cell r="F30" t="str">
            <v>Incandescent</v>
          </cell>
        </row>
        <row r="31">
          <cell r="B31" t="str">
            <v>Lighting</v>
          </cell>
          <cell r="C31" t="str">
            <v>Lighting Controls</v>
          </cell>
          <cell r="D31" t="str">
            <v>Lighting Controls</v>
          </cell>
          <cell r="E31" t="str">
            <v>Daylighting/Occ Sensors</v>
          </cell>
          <cell r="F31" t="str">
            <v>No Controls</v>
          </cell>
        </row>
        <row r="32">
          <cell r="B32" t="str">
            <v>Motors/Drives</v>
          </cell>
          <cell r="C32" t="str">
            <v>Motors/Drives Controls</v>
          </cell>
          <cell r="D32" t="str">
            <v>Motors/Drives Control Improvements (VFD)</v>
          </cell>
          <cell r="E32" t="str">
            <v>VSD Pump for well water</v>
          </cell>
          <cell r="F32" t="str">
            <v>Single-Speed Motor</v>
          </cell>
        </row>
        <row r="33">
          <cell r="B33" t="str">
            <v>Refrigeration</v>
          </cell>
          <cell r="C33" t="str">
            <v>Freezers</v>
          </cell>
          <cell r="D33" t="str">
            <v>Freezers</v>
          </cell>
          <cell r="E33" t="str">
            <v>ENERGY STAR freezer</v>
          </cell>
          <cell r="F33" t="str">
            <v>Fed Std 2014</v>
          </cell>
        </row>
        <row r="34">
          <cell r="B34" t="str">
            <v>Refrigeration</v>
          </cell>
          <cell r="C34" t="str">
            <v>Refrigerators</v>
          </cell>
          <cell r="D34" t="str">
            <v>Refrigerators</v>
          </cell>
          <cell r="E34" t="str">
            <v>ENERGY STAR fridge</v>
          </cell>
          <cell r="F34" t="str">
            <v>Fed Std 2014</v>
          </cell>
        </row>
        <row r="35">
          <cell r="B35" t="str">
            <v>Water Heating</v>
          </cell>
          <cell r="C35" t="str">
            <v>Pipe Insulation</v>
          </cell>
          <cell r="D35" t="str">
            <v>Pipe Insulation</v>
          </cell>
          <cell r="E35" t="str">
            <v>R4 insulation</v>
          </cell>
          <cell r="F35" t="str">
            <v>No Insulation</v>
          </cell>
        </row>
        <row r="36">
          <cell r="B36" t="str">
            <v>Water Heating</v>
          </cell>
          <cell r="C36" t="str">
            <v>Water Heaters</v>
          </cell>
          <cell r="D36" t="str">
            <v>Drain Water Heat Recovery</v>
          </cell>
          <cell r="E36" t="str">
            <v>Heat recovery unit</v>
          </cell>
          <cell r="F36" t="str">
            <v>No Heat Recovery</v>
          </cell>
        </row>
        <row r="37">
          <cell r="B37" t="str">
            <v>Water Heating</v>
          </cell>
          <cell r="C37" t="str">
            <v>Water Heaters</v>
          </cell>
          <cell r="D37" t="str">
            <v>Heat Pump Water Heaters</v>
          </cell>
          <cell r="E37" t="str">
            <v>HPWH Tier 1+</v>
          </cell>
          <cell r="F37" t="str">
            <v>0.95 EF WH</v>
          </cell>
        </row>
        <row r="38">
          <cell r="B38" t="str">
            <v>Water Heating</v>
          </cell>
          <cell r="C38" t="str">
            <v>Water Heaters</v>
          </cell>
          <cell r="D38" t="str">
            <v>Solar Water Heaters</v>
          </cell>
          <cell r="E38" t="str">
            <v>SRCC certified SWH</v>
          </cell>
          <cell r="F38" t="str">
            <v>Standard WH</v>
          </cell>
        </row>
        <row r="39">
          <cell r="B39" t="str">
            <v>Water Heating</v>
          </cell>
          <cell r="C39" t="str">
            <v>Water Using Devices</v>
          </cell>
          <cell r="D39" t="str">
            <v>Dishwashers</v>
          </cell>
          <cell r="E39" t="str">
            <v>ENERGY STAR Dishwasher</v>
          </cell>
          <cell r="F39" t="str">
            <v>Fed Std 2013</v>
          </cell>
        </row>
        <row r="40">
          <cell r="B40" t="str">
            <v>Water Heating</v>
          </cell>
          <cell r="C40" t="str">
            <v>Water Using Devices</v>
          </cell>
          <cell r="D40" t="str">
            <v>Clothes Washers</v>
          </cell>
          <cell r="E40" t="str">
            <v>ENERGY STAR Clothes Washer</v>
          </cell>
          <cell r="F40" t="str">
            <v>Fed Std 2015</v>
          </cell>
        </row>
        <row r="41">
          <cell r="B41" t="str">
            <v>Water Heating</v>
          </cell>
          <cell r="C41" t="str">
            <v>Water Using Devices</v>
          </cell>
          <cell r="D41" t="str">
            <v>Showerheads</v>
          </cell>
          <cell r="E41" t="str">
            <v>1.5 GPM</v>
          </cell>
          <cell r="F41" t="str">
            <v>2.5 GPM</v>
          </cell>
        </row>
        <row r="42">
          <cell r="B42" t="str">
            <v>Water Heating</v>
          </cell>
          <cell r="C42" t="str">
            <v>Water Using Devices</v>
          </cell>
          <cell r="D42" t="str">
            <v>Aerators</v>
          </cell>
          <cell r="E42" t="str">
            <v>1.0 GPM</v>
          </cell>
          <cell r="F42" t="str">
            <v>2.5 GPM</v>
          </cell>
        </row>
        <row r="43">
          <cell r="B43" t="str">
            <v>Whole Bldg/Meter Level</v>
          </cell>
          <cell r="C43" t="str">
            <v>Whole Bldg/Meter Level System Improvements</v>
          </cell>
          <cell r="D43" t="str">
            <v>Photovoltaics</v>
          </cell>
          <cell r="E43" t="str">
            <v>PV system</v>
          </cell>
          <cell r="F43" t="str">
            <v>No PV system</v>
          </cell>
        </row>
        <row r="44">
          <cell r="B44" t="str">
            <v>Whole Bldg/Meter Level</v>
          </cell>
          <cell r="C44" t="str">
            <v>Whole Bldg/Meter Level System Improvements</v>
          </cell>
          <cell r="D44" t="str">
            <v>Behavioral</v>
          </cell>
          <cell r="E44" t="str">
            <v>Home Energy Reports</v>
          </cell>
          <cell r="F44" t="str">
            <v>No Report</v>
          </cell>
        </row>
        <row r="45">
          <cell r="B45" t="str">
            <v>Whole Bldg/Meter Level</v>
          </cell>
          <cell r="C45" t="str">
            <v>Whole Bldg/Meter Level System Improvements</v>
          </cell>
          <cell r="D45" t="str">
            <v>Automation</v>
          </cell>
          <cell r="E45" t="str">
            <v>Smart Devices</v>
          </cell>
          <cell r="F45" t="str">
            <v>Standard Home</v>
          </cell>
        </row>
        <row r="46">
          <cell r="B46" t="str">
            <v>Electronics</v>
          </cell>
          <cell r="C46" t="str">
            <v>Plug Load</v>
          </cell>
          <cell r="D46" t="str">
            <v>Electric Vehicle Supply Equipment</v>
          </cell>
          <cell r="E46" t="str">
            <v>Efficient EVSE</v>
          </cell>
          <cell r="F46" t="str">
            <v>Standard EVSE</v>
          </cell>
        </row>
        <row r="47">
          <cell r="B47" t="str">
            <v>HVAC</v>
          </cell>
          <cell r="C47" t="str">
            <v>HVAC System</v>
          </cell>
          <cell r="D47" t="str">
            <v>Geothermal Heat Pump</v>
          </cell>
          <cell r="E47" t="str">
            <v>ENERGY STAR qualified</v>
          </cell>
          <cell r="F47" t="str">
            <v>ASHP</v>
          </cell>
        </row>
        <row r="48">
          <cell r="B48" t="str">
            <v>HVAC</v>
          </cell>
          <cell r="C48" t="str">
            <v>HVAC System</v>
          </cell>
          <cell r="D48" t="str">
            <v>Commissioning Controls Sizing</v>
          </cell>
          <cell r="E48" t="str">
            <v>Controls Commissioning &amp; Sizing</v>
          </cell>
          <cell r="F48" t="str">
            <v>Standard installation</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PSourceSummary"/>
      <sheetName val="forRPM"/>
      <sheetName val="SC-Retro"/>
      <sheetName val="Measure InputOutput_Out"/>
      <sheetName val="Measure InputOutput"/>
      <sheetName val="SavingsData&amp;Analysis"/>
      <sheetName val="CostData&amp;Analysis"/>
      <sheetName val="MDataMeas_Out"/>
      <sheetName val="MDataMeas"/>
      <sheetName val="Savings and Cost"/>
      <sheetName val="Data"/>
      <sheetName val="Accomplishments"/>
      <sheetName val="To Do 7P"/>
      <sheetName val="ProCost 6th Plan Inputs"/>
      <sheetName val="Levelized Cost Note"/>
      <sheetName val="Problems"/>
      <sheetName val="LookupTable"/>
      <sheetName val="MeasureTable"/>
      <sheetName val="Summary"/>
      <sheetName val="ValidationLists"/>
    </sheetNames>
    <sheetDataSet>
      <sheetData sheetId="0"/>
      <sheetData sheetId="1"/>
      <sheetData sheetId="2"/>
      <sheetData sheetId="3"/>
      <sheetData sheetId="4"/>
      <sheetData sheetId="5"/>
      <sheetData sheetId="6"/>
      <sheetData sheetId="7"/>
      <sheetData sheetId="8"/>
      <sheetData sheetId="9">
        <row r="21">
          <cell r="F21">
            <v>3.6841444395749776</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C1:F27"/>
  <sheetViews>
    <sheetView topLeftCell="C1" workbookViewId="0">
      <selection activeCell="D14" sqref="D14"/>
    </sheetView>
  </sheetViews>
  <sheetFormatPr defaultRowHeight="15"/>
  <cols>
    <col min="1" max="1" width="4" style="236" customWidth="1"/>
    <col min="2" max="2" width="4.28515625" style="236" customWidth="1"/>
    <col min="3" max="3" width="28.140625" style="236" customWidth="1"/>
    <col min="4" max="4" width="74.42578125" style="236" customWidth="1"/>
    <col min="5" max="5" width="44.7109375" style="236" customWidth="1"/>
    <col min="6" max="6" width="31.5703125" style="236" customWidth="1"/>
    <col min="7" max="16384" width="9.140625" style="236"/>
  </cols>
  <sheetData>
    <row r="1" spans="3:6" ht="15.75" thickBot="1"/>
    <row r="2" spans="3:6" ht="19.5" thickBot="1">
      <c r="C2" s="237" t="s">
        <v>326</v>
      </c>
      <c r="D2" s="238" t="s">
        <v>344</v>
      </c>
      <c r="E2" s="238"/>
      <c r="F2" s="239"/>
    </row>
    <row r="3" spans="3:6">
      <c r="C3" s="240" t="s">
        <v>327</v>
      </c>
      <c r="D3" s="240" t="s">
        <v>328</v>
      </c>
      <c r="E3" s="240" t="s">
        <v>329</v>
      </c>
      <c r="F3" s="240" t="s">
        <v>330</v>
      </c>
    </row>
    <row r="4" spans="3:6" ht="30">
      <c r="C4" s="241" t="s">
        <v>331</v>
      </c>
      <c r="D4" s="242" t="s">
        <v>345</v>
      </c>
      <c r="E4" s="243"/>
      <c r="F4" s="244" t="s">
        <v>544</v>
      </c>
    </row>
    <row r="5" spans="3:6" ht="45">
      <c r="C5" s="241" t="s">
        <v>332</v>
      </c>
      <c r="D5" s="245" t="s">
        <v>556</v>
      </c>
      <c r="E5" s="243" t="s">
        <v>349</v>
      </c>
      <c r="F5" s="244" t="s">
        <v>557</v>
      </c>
    </row>
    <row r="6" spans="3:6">
      <c r="C6" s="241" t="s">
        <v>334</v>
      </c>
      <c r="D6" s="245" t="s">
        <v>346</v>
      </c>
      <c r="E6" s="245"/>
      <c r="F6" s="244"/>
    </row>
    <row r="7" spans="3:6" ht="30">
      <c r="C7" s="241" t="s">
        <v>335</v>
      </c>
      <c r="D7" s="245" t="s">
        <v>347</v>
      </c>
      <c r="E7" s="245"/>
      <c r="F7" s="244" t="s">
        <v>545</v>
      </c>
    </row>
    <row r="8" spans="3:6">
      <c r="C8" s="241" t="s">
        <v>336</v>
      </c>
      <c r="D8" s="245" t="s">
        <v>337</v>
      </c>
      <c r="E8" s="246"/>
      <c r="F8" s="244"/>
    </row>
    <row r="9" spans="3:6">
      <c r="C9" s="241" t="s">
        <v>338</v>
      </c>
      <c r="D9" s="245" t="s">
        <v>348</v>
      </c>
      <c r="E9" s="246"/>
      <c r="F9" s="244" t="s">
        <v>333</v>
      </c>
    </row>
    <row r="10" spans="3:6">
      <c r="C10" s="241" t="s">
        <v>339</v>
      </c>
      <c r="D10" s="245" t="s">
        <v>353</v>
      </c>
      <c r="E10" s="245" t="s">
        <v>352</v>
      </c>
      <c r="F10" s="244"/>
    </row>
    <row r="11" spans="3:6">
      <c r="C11" s="241" t="s">
        <v>340</v>
      </c>
      <c r="D11" s="247">
        <v>10</v>
      </c>
      <c r="E11" s="246" t="s">
        <v>351</v>
      </c>
      <c r="F11" s="244" t="s">
        <v>333</v>
      </c>
    </row>
    <row r="12" spans="3:6">
      <c r="C12" s="241" t="s">
        <v>341</v>
      </c>
      <c r="D12" s="247" t="s">
        <v>342</v>
      </c>
      <c r="E12" s="248"/>
      <c r="F12" s="244" t="s">
        <v>546</v>
      </c>
    </row>
    <row r="13" spans="3:6">
      <c r="C13" s="241" t="s">
        <v>343</v>
      </c>
      <c r="D13" s="247" t="s">
        <v>637</v>
      </c>
      <c r="E13" s="246" t="s">
        <v>547</v>
      </c>
      <c r="F13" s="244" t="s">
        <v>548</v>
      </c>
    </row>
    <row r="21" spans="3:3">
      <c r="C21" s="249"/>
    </row>
    <row r="22" spans="3:3">
      <c r="C22" s="249"/>
    </row>
    <row r="23" spans="3:3">
      <c r="C23" s="249"/>
    </row>
    <row r="24" spans="3:3">
      <c r="C24" s="249"/>
    </row>
    <row r="25" spans="3:3">
      <c r="C25" s="249"/>
    </row>
    <row r="26" spans="3:3">
      <c r="C26" s="249"/>
    </row>
    <row r="27" spans="3:3">
      <c r="C27" s="24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EA15"/>
  <sheetViews>
    <sheetView workbookViewId="0">
      <selection sqref="A1:EA15"/>
    </sheetView>
  </sheetViews>
  <sheetFormatPr defaultRowHeight="12.75"/>
  <cols>
    <col min="1" max="1" width="60.42578125" customWidth="1"/>
  </cols>
  <sheetData>
    <row r="1" spans="1:131" ht="13.5" thickBot="1">
      <c r="A1" s="24" t="s">
        <v>45</v>
      </c>
      <c r="B1" s="25"/>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33"/>
      <c r="B2" s="34"/>
      <c r="C2" s="35"/>
      <c r="D2" s="35"/>
      <c r="E2" s="35"/>
      <c r="F2" s="35"/>
      <c r="G2" s="35"/>
      <c r="H2" s="35"/>
      <c r="I2" s="35"/>
      <c r="J2" s="35"/>
      <c r="K2" s="35"/>
      <c r="L2" s="35"/>
      <c r="M2" s="35"/>
      <c r="N2" s="35"/>
      <c r="O2" s="36" t="s">
        <v>592</v>
      </c>
      <c r="P2" s="37"/>
      <c r="Q2" s="37"/>
      <c r="R2" s="37"/>
      <c r="S2" s="37"/>
      <c r="T2" s="37"/>
      <c r="U2" s="37"/>
      <c r="V2" s="37"/>
      <c r="W2" s="37"/>
      <c r="X2" s="37"/>
      <c r="Y2" s="37"/>
      <c r="Z2" s="31"/>
      <c r="AA2" s="35"/>
      <c r="AB2" s="36" t="s">
        <v>593</v>
      </c>
      <c r="AC2" s="37"/>
      <c r="AD2" s="37"/>
      <c r="AE2" s="37"/>
      <c r="AF2" s="37"/>
      <c r="AG2" s="37"/>
      <c r="AH2" s="37"/>
      <c r="AI2" s="37"/>
      <c r="AJ2" s="37"/>
      <c r="AK2" s="37"/>
      <c r="AL2" s="37"/>
      <c r="AM2" s="31"/>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27" t="s">
        <v>21</v>
      </c>
      <c r="B3" s="28" t="s">
        <v>22</v>
      </c>
      <c r="C3" s="29" t="s">
        <v>46</v>
      </c>
      <c r="D3" s="29" t="s">
        <v>25</v>
      </c>
      <c r="E3" s="29" t="s">
        <v>26</v>
      </c>
      <c r="F3" s="29" t="s">
        <v>27</v>
      </c>
      <c r="G3" s="29" t="s">
        <v>28</v>
      </c>
      <c r="H3" s="29" t="s">
        <v>29</v>
      </c>
      <c r="I3" s="29" t="s">
        <v>30</v>
      </c>
      <c r="J3" s="29" t="s">
        <v>31</v>
      </c>
      <c r="K3" s="29" t="s">
        <v>24</v>
      </c>
      <c r="L3" s="29" t="s">
        <v>23</v>
      </c>
      <c r="M3" s="29" t="s">
        <v>32</v>
      </c>
      <c r="N3" s="29" t="s">
        <v>594</v>
      </c>
      <c r="O3" s="29" t="s">
        <v>33</v>
      </c>
      <c r="P3" s="29" t="s">
        <v>34</v>
      </c>
      <c r="Q3" s="29" t="s">
        <v>35</v>
      </c>
      <c r="R3" s="29" t="s">
        <v>36</v>
      </c>
      <c r="S3" s="29" t="s">
        <v>37</v>
      </c>
      <c r="T3" s="29" t="s">
        <v>38</v>
      </c>
      <c r="U3" s="29" t="s">
        <v>39</v>
      </c>
      <c r="V3" s="29" t="s">
        <v>40</v>
      </c>
      <c r="W3" s="29" t="s">
        <v>41</v>
      </c>
      <c r="X3" s="29" t="s">
        <v>42</v>
      </c>
      <c r="Y3" s="29" t="s">
        <v>43</v>
      </c>
      <c r="Z3" s="29" t="s">
        <v>44</v>
      </c>
      <c r="AA3" s="29"/>
      <c r="AB3" s="29" t="s">
        <v>33</v>
      </c>
      <c r="AC3" s="29" t="s">
        <v>34</v>
      </c>
      <c r="AD3" s="29" t="s">
        <v>35</v>
      </c>
      <c r="AE3" s="29" t="s">
        <v>36</v>
      </c>
      <c r="AF3" s="29" t="s">
        <v>37</v>
      </c>
      <c r="AG3" s="29" t="s">
        <v>38</v>
      </c>
      <c r="AH3" s="29" t="s">
        <v>39</v>
      </c>
      <c r="AI3" s="29" t="s">
        <v>40</v>
      </c>
      <c r="AJ3" s="29" t="s">
        <v>41</v>
      </c>
      <c r="AK3" s="29" t="s">
        <v>42</v>
      </c>
      <c r="AL3" s="29" t="s">
        <v>43</v>
      </c>
      <c r="AM3" s="29" t="s">
        <v>44</v>
      </c>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620</v>
      </c>
      <c r="B4" s="7"/>
      <c r="C4" s="32">
        <v>56.616194615468245</v>
      </c>
      <c r="D4" s="32">
        <v>0</v>
      </c>
      <c r="E4" s="32">
        <v>0</v>
      </c>
      <c r="F4" s="32">
        <v>0</v>
      </c>
      <c r="G4" s="32">
        <v>0</v>
      </c>
      <c r="H4" s="32">
        <v>212.65238254972505</v>
      </c>
      <c r="I4" s="32">
        <v>0</v>
      </c>
      <c r="J4" s="32">
        <v>-10.987547336671968</v>
      </c>
      <c r="K4" s="32">
        <v>-238.38313260787731</v>
      </c>
      <c r="L4" s="30">
        <v>9999</v>
      </c>
      <c r="M4" s="32">
        <v>0.76313621459430092</v>
      </c>
      <c r="N4" s="32">
        <v>1.0956571694973402E-2</v>
      </c>
      <c r="O4" s="32">
        <v>3.7434592550015577</v>
      </c>
      <c r="P4" s="32">
        <v>3.3535097651839711</v>
      </c>
      <c r="Q4" s="32">
        <v>3.8578171422763501</v>
      </c>
      <c r="R4" s="32">
        <v>3.3457078703747025</v>
      </c>
      <c r="S4" s="32">
        <v>3.1912195694190264</v>
      </c>
      <c r="T4" s="32">
        <v>3.1113773068924058</v>
      </c>
      <c r="U4" s="32">
        <v>2.6332652459495787</v>
      </c>
      <c r="V4" s="32">
        <v>2.7538475768048531</v>
      </c>
      <c r="W4" s="32">
        <v>2.5835106289739818</v>
      </c>
      <c r="X4" s="32">
        <v>3.1191223198026057</v>
      </c>
      <c r="Y4" s="32">
        <v>3.1969785563963025</v>
      </c>
      <c r="Z4" s="32">
        <v>3.7170579755485829</v>
      </c>
      <c r="AA4" s="32"/>
      <c r="AB4" s="32">
        <v>1.8784052508764384</v>
      </c>
      <c r="AC4" s="32">
        <v>1.5733945720464928</v>
      </c>
      <c r="AD4" s="32">
        <v>1.502205980737191</v>
      </c>
      <c r="AE4" s="32">
        <v>1.5626491651215921</v>
      </c>
      <c r="AF4" s="32">
        <v>1.5615499958804764</v>
      </c>
      <c r="AG4" s="32">
        <v>1.2947011067357403</v>
      </c>
      <c r="AH4" s="32">
        <v>1.4077824170069377</v>
      </c>
      <c r="AI4" s="32">
        <v>1.1052597636665953</v>
      </c>
      <c r="AJ4" s="32">
        <v>1.361724154955567</v>
      </c>
      <c r="AK4" s="32">
        <v>1.2704396314162765</v>
      </c>
      <c r="AL4" s="32">
        <v>1.6637652925395958</v>
      </c>
      <c r="AM4" s="26">
        <v>1.8274440718614255</v>
      </c>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t="s">
        <v>623</v>
      </c>
      <c r="B5" s="7"/>
      <c r="C5" s="32">
        <v>58.930558362050633</v>
      </c>
      <c r="D5" s="32">
        <v>0</v>
      </c>
      <c r="E5" s="32">
        <v>0</v>
      </c>
      <c r="F5" s="32">
        <v>0</v>
      </c>
      <c r="G5" s="32">
        <v>0</v>
      </c>
      <c r="H5" s="32">
        <v>214.76626639201743</v>
      </c>
      <c r="I5" s="32">
        <v>0</v>
      </c>
      <c r="J5" s="32">
        <v>-10.987547336671975</v>
      </c>
      <c r="K5" s="32">
        <v>-230.16854242343911</v>
      </c>
      <c r="L5" s="30">
        <v>9999</v>
      </c>
      <c r="M5" s="32">
        <v>0.79433179036121593</v>
      </c>
      <c r="N5" s="32">
        <v>1.1404455776372774E-2</v>
      </c>
      <c r="O5" s="32">
        <v>3.8964848415042734</v>
      </c>
      <c r="P5" s="32">
        <v>3.4905949486207137</v>
      </c>
      <c r="Q5" s="32">
        <v>4.0155174645192915</v>
      </c>
      <c r="R5" s="32">
        <v>3.4824741269986519</v>
      </c>
      <c r="S5" s="32">
        <v>3.3216706343309341</v>
      </c>
      <c r="T5" s="32">
        <v>3.2385645700053449</v>
      </c>
      <c r="U5" s="32">
        <v>2.7409081856023261</v>
      </c>
      <c r="V5" s="32">
        <v>2.8664196957658405</v>
      </c>
      <c r="W5" s="32">
        <v>2.6891196932923749</v>
      </c>
      <c r="X5" s="32">
        <v>3.2466261845030928</v>
      </c>
      <c r="Y5" s="32">
        <v>3.3276650378841168</v>
      </c>
      <c r="Z5" s="32">
        <v>3.8690043273121151</v>
      </c>
      <c r="AA5" s="32"/>
      <c r="AB5" s="32">
        <v>1.9551909310788074</v>
      </c>
      <c r="AC5" s="32">
        <v>1.6377119883148592</v>
      </c>
      <c r="AD5" s="32">
        <v>1.5636133410398478</v>
      </c>
      <c r="AE5" s="32">
        <v>1.6265273293279261</v>
      </c>
      <c r="AF5" s="32">
        <v>1.6253832281117762</v>
      </c>
      <c r="AG5" s="32">
        <v>1.3476260573517365</v>
      </c>
      <c r="AH5" s="32">
        <v>1.465329919291855</v>
      </c>
      <c r="AI5" s="32">
        <v>1.1504407078285916</v>
      </c>
      <c r="AJ5" s="32">
        <v>1.4173888819560225</v>
      </c>
      <c r="AK5" s="32">
        <v>1.322372818468873</v>
      </c>
      <c r="AL5" s="32">
        <v>1.7317768942028355</v>
      </c>
      <c r="AM5" s="26">
        <v>1.9021465547384266</v>
      </c>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row r="6" spans="1:131">
      <c r="A6" s="7" t="s">
        <v>621</v>
      </c>
      <c r="B6" s="7"/>
      <c r="C6" s="32">
        <v>68.562066880880366</v>
      </c>
      <c r="D6" s="32">
        <v>0</v>
      </c>
      <c r="E6" s="32">
        <v>0</v>
      </c>
      <c r="F6" s="32">
        <v>0</v>
      </c>
      <c r="G6" s="32">
        <v>0</v>
      </c>
      <c r="H6" s="32">
        <v>160.41491905829861</v>
      </c>
      <c r="I6" s="32">
        <v>0</v>
      </c>
      <c r="J6" s="32">
        <v>-10.98754733667197</v>
      </c>
      <c r="K6" s="32">
        <v>-134.16702760464855</v>
      </c>
      <c r="L6" s="30">
        <v>9999</v>
      </c>
      <c r="M6" s="32">
        <v>0.67015828801699007</v>
      </c>
      <c r="N6" s="32">
        <v>1.3268380300690299E-2</v>
      </c>
      <c r="O6" s="32">
        <v>4.5333195837422968</v>
      </c>
      <c r="P6" s="32">
        <v>4.0610917488864722</v>
      </c>
      <c r="Q6" s="32">
        <v>4.6718066927566548</v>
      </c>
      <c r="R6" s="32">
        <v>4.0516436742261437</v>
      </c>
      <c r="S6" s="32">
        <v>3.8645587368795637</v>
      </c>
      <c r="T6" s="32">
        <v>3.7678699611599864</v>
      </c>
      <c r="U6" s="32">
        <v>3.188877478151217</v>
      </c>
      <c r="V6" s="32">
        <v>3.3349023724222464</v>
      </c>
      <c r="W6" s="32">
        <v>3.1286247642434293</v>
      </c>
      <c r="X6" s="32">
        <v>3.777249151986021</v>
      </c>
      <c r="Y6" s="32">
        <v>3.871532855380178</v>
      </c>
      <c r="Z6" s="32">
        <v>4.5013477018471981</v>
      </c>
      <c r="AA6" s="32"/>
      <c r="AB6" s="32">
        <v>2.2747439547058668</v>
      </c>
      <c r="AC6" s="32">
        <v>1.905376802721265</v>
      </c>
      <c r="AD6" s="32">
        <v>1.8191676007137088</v>
      </c>
      <c r="AE6" s="32">
        <v>1.8923641424170692</v>
      </c>
      <c r="AF6" s="32">
        <v>1.8910330512772526</v>
      </c>
      <c r="AG6" s="32">
        <v>1.5678797290009545</v>
      </c>
      <c r="AH6" s="32">
        <v>1.7048209065288624</v>
      </c>
      <c r="AI6" s="32">
        <v>1.3384667470489338</v>
      </c>
      <c r="AJ6" s="32">
        <v>1.6490444689807191</v>
      </c>
      <c r="AK6" s="32">
        <v>1.5384991444388927</v>
      </c>
      <c r="AL6" s="32">
        <v>2.0148155141112505</v>
      </c>
      <c r="AM6" s="26">
        <v>2.2130300972541823</v>
      </c>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row>
    <row r="7" spans="1:131">
      <c r="A7" s="7" t="s">
        <v>624</v>
      </c>
      <c r="B7" s="7"/>
      <c r="C7" s="32">
        <v>71.364755458902735</v>
      </c>
      <c r="D7" s="32">
        <v>0</v>
      </c>
      <c r="E7" s="32">
        <v>0</v>
      </c>
      <c r="F7" s="32">
        <v>0</v>
      </c>
      <c r="G7" s="32">
        <v>0</v>
      </c>
      <c r="H7" s="32">
        <v>162.3284176766058</v>
      </c>
      <c r="I7" s="32">
        <v>0</v>
      </c>
      <c r="J7" s="32">
        <v>-10.987547336671966</v>
      </c>
      <c r="K7" s="32">
        <v>-129.37879763441686</v>
      </c>
      <c r="L7" s="30">
        <v>9999</v>
      </c>
      <c r="M7" s="32">
        <v>0.69755310069898613</v>
      </c>
      <c r="N7" s="32">
        <v>1.3810766777781352E-2</v>
      </c>
      <c r="O7" s="32">
        <v>4.7186331776272974</v>
      </c>
      <c r="P7" s="32">
        <v>4.2271015554268745</v>
      </c>
      <c r="Q7" s="32">
        <v>4.8627813796672239</v>
      </c>
      <c r="R7" s="32">
        <v>4.217267261211922</v>
      </c>
      <c r="S7" s="32">
        <v>4.0225346428534454</v>
      </c>
      <c r="T7" s="32">
        <v>3.9218934115026363</v>
      </c>
      <c r="U7" s="32">
        <v>3.319232802769057</v>
      </c>
      <c r="V7" s="32">
        <v>3.4712269205757682</v>
      </c>
      <c r="W7" s="32">
        <v>3.2565170710330933</v>
      </c>
      <c r="X7" s="32">
        <v>3.9316560060414685</v>
      </c>
      <c r="Y7" s="32">
        <v>4.0297938502253947</v>
      </c>
      <c r="Z7" s="32">
        <v>4.6853543452232387</v>
      </c>
      <c r="AA7" s="32"/>
      <c r="AB7" s="32">
        <v>2.3677312170481208</v>
      </c>
      <c r="AC7" s="32">
        <v>1.9832650293275851</v>
      </c>
      <c r="AD7" s="32">
        <v>1.8935317569881531</v>
      </c>
      <c r="AE7" s="32">
        <v>1.9697204358996749</v>
      </c>
      <c r="AF7" s="32">
        <v>1.9683349322530075</v>
      </c>
      <c r="AG7" s="32">
        <v>1.6319717088389953</v>
      </c>
      <c r="AH7" s="32">
        <v>1.7745107846155839</v>
      </c>
      <c r="AI7" s="32">
        <v>1.3931807548768238</v>
      </c>
      <c r="AJ7" s="32">
        <v>1.7164543110132393</v>
      </c>
      <c r="AK7" s="32">
        <v>1.6013901011381362</v>
      </c>
      <c r="AL7" s="32">
        <v>2.0971773897827175</v>
      </c>
      <c r="AM7" s="26">
        <v>2.3034946129632865</v>
      </c>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row>
    <row r="8" spans="1:131">
      <c r="A8" s="7" t="s">
        <v>622</v>
      </c>
      <c r="B8" s="7"/>
      <c r="C8" s="32">
        <v>84.141098214387171</v>
      </c>
      <c r="D8" s="32">
        <v>0</v>
      </c>
      <c r="E8" s="32">
        <v>0</v>
      </c>
      <c r="F8" s="32">
        <v>0</v>
      </c>
      <c r="G8" s="32">
        <v>0</v>
      </c>
      <c r="H8" s="32">
        <v>207.73052053428282</v>
      </c>
      <c r="I8" s="32">
        <v>0</v>
      </c>
      <c r="J8" s="32">
        <v>-10.987547336671966</v>
      </c>
      <c r="K8" s="32">
        <v>-143.66876563424663</v>
      </c>
      <c r="L8" s="30">
        <v>9999</v>
      </c>
      <c r="M8" s="32">
        <v>0.85085504234080034</v>
      </c>
      <c r="N8" s="32">
        <v>1.628329105022289E-2</v>
      </c>
      <c r="O8" s="32">
        <v>5.5634041633484603</v>
      </c>
      <c r="P8" s="32">
        <v>4.9838742506752505</v>
      </c>
      <c r="Q8" s="32">
        <v>5.7333590373934422</v>
      </c>
      <c r="R8" s="32">
        <v>4.9722793350885786</v>
      </c>
      <c r="S8" s="32">
        <v>4.7426839800497591</v>
      </c>
      <c r="T8" s="32">
        <v>4.6240250751456164</v>
      </c>
      <c r="U8" s="32">
        <v>3.9134708927159396</v>
      </c>
      <c r="V8" s="32">
        <v>4.0926763269971298</v>
      </c>
      <c r="W8" s="32">
        <v>3.839527242105075</v>
      </c>
      <c r="X8" s="32">
        <v>4.6355354547529872</v>
      </c>
      <c r="Y8" s="32">
        <v>4.7512427942223017</v>
      </c>
      <c r="Z8" s="32">
        <v>5.5241674632748143</v>
      </c>
      <c r="AA8" s="32"/>
      <c r="AB8" s="32">
        <v>2.7916231702586645</v>
      </c>
      <c r="AC8" s="32">
        <v>2.3383264826558623</v>
      </c>
      <c r="AD8" s="32">
        <v>2.2325283749981053</v>
      </c>
      <c r="AE8" s="32">
        <v>2.3223570176368442</v>
      </c>
      <c r="AF8" s="32">
        <v>2.320723469008239</v>
      </c>
      <c r="AG8" s="32">
        <v>1.9241415591425954</v>
      </c>
      <c r="AH8" s="32">
        <v>2.0921992270654211</v>
      </c>
      <c r="AI8" s="32">
        <v>1.6426001598785167</v>
      </c>
      <c r="AJ8" s="32">
        <v>2.02374897573416</v>
      </c>
      <c r="AK8" s="32">
        <v>1.8880849645313567</v>
      </c>
      <c r="AL8" s="32">
        <v>2.4726324302802127</v>
      </c>
      <c r="AM8" s="26">
        <v>2.7158863674278422</v>
      </c>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row>
    <row r="9" spans="1:131">
      <c r="A9" s="7" t="s">
        <v>625</v>
      </c>
      <c r="B9" s="7"/>
      <c r="C9" s="32">
        <v>87.580628345785399</v>
      </c>
      <c r="D9" s="32">
        <v>0</v>
      </c>
      <c r="E9" s="32">
        <v>0</v>
      </c>
      <c r="F9" s="32">
        <v>0</v>
      </c>
      <c r="G9" s="32">
        <v>0</v>
      </c>
      <c r="H9" s="32">
        <v>210.15114125388376</v>
      </c>
      <c r="I9" s="32">
        <v>0</v>
      </c>
      <c r="J9" s="32">
        <v>-10.987547336671971</v>
      </c>
      <c r="K9" s="32">
        <v>-138.56814270757619</v>
      </c>
      <c r="L9" s="30">
        <v>9999</v>
      </c>
      <c r="M9" s="32">
        <v>0.88563639910567793</v>
      </c>
      <c r="N9" s="32">
        <v>1.6948921418665028E-2</v>
      </c>
      <c r="O9" s="32">
        <v>5.7908256810023788</v>
      </c>
      <c r="P9" s="32">
        <v>5.1876056734886289</v>
      </c>
      <c r="Q9" s="32">
        <v>5.9677279912308805</v>
      </c>
      <c r="R9" s="32">
        <v>5.1755367795206695</v>
      </c>
      <c r="S9" s="32">
        <v>4.9365559974022917</v>
      </c>
      <c r="T9" s="32">
        <v>4.8130465392318174</v>
      </c>
      <c r="U9" s="32">
        <v>4.0734462357944166</v>
      </c>
      <c r="V9" s="32">
        <v>4.2599772517948988</v>
      </c>
      <c r="W9" s="32">
        <v>3.9964799075658477</v>
      </c>
      <c r="X9" s="32">
        <v>4.8250274415483458</v>
      </c>
      <c r="Y9" s="32">
        <v>4.9454646798301845</v>
      </c>
      <c r="Z9" s="32">
        <v>5.7499850582913554</v>
      </c>
      <c r="AA9" s="32"/>
      <c r="AB9" s="32">
        <v>2.9057394845614448</v>
      </c>
      <c r="AC9" s="32">
        <v>2.4339128793730618</v>
      </c>
      <c r="AD9" s="32">
        <v>2.3237899436959868</v>
      </c>
      <c r="AE9" s="32">
        <v>2.417290612604591</v>
      </c>
      <c r="AF9" s="32">
        <v>2.4155902875748168</v>
      </c>
      <c r="AG9" s="32">
        <v>2.0027968537631131</v>
      </c>
      <c r="AH9" s="32">
        <v>2.1777244036449339</v>
      </c>
      <c r="AI9" s="32">
        <v>1.7097465706532653</v>
      </c>
      <c r="AJ9" s="32">
        <v>2.1064760345454006</v>
      </c>
      <c r="AK9" s="32">
        <v>1.9652663332555782</v>
      </c>
      <c r="AL9" s="32">
        <v>2.5737090019949256</v>
      </c>
      <c r="AM9" s="26">
        <v>2.8269067034165691</v>
      </c>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row>
    <row r="10" spans="1:131">
      <c r="A10" s="7" t="s">
        <v>614</v>
      </c>
      <c r="B10" s="7"/>
      <c r="C10" s="32">
        <v>186.98267334641028</v>
      </c>
      <c r="D10" s="32">
        <v>25.872</v>
      </c>
      <c r="E10" s="32">
        <v>5.1744000000000003</v>
      </c>
      <c r="F10" s="32">
        <v>31.046399999999998</v>
      </c>
      <c r="G10" s="32">
        <v>49.268024649468316</v>
      </c>
      <c r="H10" s="32">
        <v>735.3333597248602</v>
      </c>
      <c r="I10" s="32">
        <v>1454.5008857379312</v>
      </c>
      <c r="J10" s="32">
        <v>-3.2192595736606369</v>
      </c>
      <c r="K10" s="32">
        <v>-231.84961524302932</v>
      </c>
      <c r="L10" s="30">
        <v>14.92516424103875</v>
      </c>
      <c r="M10" s="32">
        <v>1.7763484831262344</v>
      </c>
      <c r="N10" s="32">
        <v>3.9445477611198661E-2</v>
      </c>
      <c r="O10" s="32">
        <v>14.532342798891818</v>
      </c>
      <c r="P10" s="32">
        <v>13.097471830233236</v>
      </c>
      <c r="Q10" s="32">
        <v>14.659036467535334</v>
      </c>
      <c r="R10" s="32">
        <v>11.502867272316417</v>
      </c>
      <c r="S10" s="32">
        <v>9.5555758595819142</v>
      </c>
      <c r="T10" s="32">
        <v>8.081811432865619</v>
      </c>
      <c r="U10" s="32">
        <v>6.9010966600759422</v>
      </c>
      <c r="V10" s="32">
        <v>7.0396350562747934</v>
      </c>
      <c r="W10" s="32">
        <v>6.9904705483474627</v>
      </c>
      <c r="X10" s="32">
        <v>9.3773334499331291</v>
      </c>
      <c r="Y10" s="32">
        <v>10.376578782798427</v>
      </c>
      <c r="Z10" s="32">
        <v>14.147327899417421</v>
      </c>
      <c r="AA10" s="32"/>
      <c r="AB10" s="32">
        <v>7.6412499332619008</v>
      </c>
      <c r="AC10" s="32">
        <v>6.4353046617725349</v>
      </c>
      <c r="AD10" s="32">
        <v>5.8977151351041881</v>
      </c>
      <c r="AE10" s="32">
        <v>5.4934593048825624</v>
      </c>
      <c r="AF10" s="32">
        <v>4.6671024354099417</v>
      </c>
      <c r="AG10" s="32">
        <v>3.5228576351058751</v>
      </c>
      <c r="AH10" s="32">
        <v>3.7000347452330451</v>
      </c>
      <c r="AI10" s="32">
        <v>3.0630486441228895</v>
      </c>
      <c r="AJ10" s="32">
        <v>3.6736062657579009</v>
      </c>
      <c r="AK10" s="32">
        <v>3.8726515254318787</v>
      </c>
      <c r="AL10" s="32">
        <v>5.3938713640329476</v>
      </c>
      <c r="AM10" s="26">
        <v>7.3602236380230961</v>
      </c>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row>
    <row r="11" spans="1:131">
      <c r="A11" s="7" t="s">
        <v>615</v>
      </c>
      <c r="B11" s="7"/>
      <c r="C11" s="32">
        <v>172.41674324464179</v>
      </c>
      <c r="D11" s="32">
        <v>25.872</v>
      </c>
      <c r="E11" s="32">
        <v>5.1744000000000003</v>
      </c>
      <c r="F11" s="32">
        <v>31.046399999999998</v>
      </c>
      <c r="G11" s="32">
        <v>49.268024649468316</v>
      </c>
      <c r="H11" s="32">
        <v>675.82648772218545</v>
      </c>
      <c r="I11" s="32">
        <v>1577.3785009620979</v>
      </c>
      <c r="J11" s="32">
        <v>-1.4895093913809481</v>
      </c>
      <c r="K11" s="32">
        <v>-229.40191815461955</v>
      </c>
      <c r="L11" s="30">
        <v>13.717344921590614</v>
      </c>
      <c r="M11" s="32">
        <v>1.6379744079163399</v>
      </c>
      <c r="N11" s="32">
        <v>3.3366714622985523E-2</v>
      </c>
      <c r="O11" s="32">
        <v>11.400184304157397</v>
      </c>
      <c r="P11" s="32">
        <v>10.212647389659635</v>
      </c>
      <c r="Q11" s="32">
        <v>11.748445338339842</v>
      </c>
      <c r="R11" s="32">
        <v>10.188887804557041</v>
      </c>
      <c r="S11" s="32">
        <v>9.7184151791697744</v>
      </c>
      <c r="T11" s="32">
        <v>9.4752666777273511</v>
      </c>
      <c r="U11" s="32">
        <v>8.0192429196200941</v>
      </c>
      <c r="V11" s="32">
        <v>8.3864596306710713</v>
      </c>
      <c r="W11" s="32">
        <v>7.8677221563723778</v>
      </c>
      <c r="X11" s="32">
        <v>9.4988530369207602</v>
      </c>
      <c r="Y11" s="32">
        <v>9.7359533727158816</v>
      </c>
      <c r="Z11" s="32">
        <v>11.319782881001167</v>
      </c>
      <c r="AA11" s="32"/>
      <c r="AB11" s="32">
        <v>5.7204218342372473</v>
      </c>
      <c r="AC11" s="32">
        <v>4.7915542503970459</v>
      </c>
      <c r="AD11" s="32">
        <v>4.5747593005935805</v>
      </c>
      <c r="AE11" s="32">
        <v>4.7588306087002996</v>
      </c>
      <c r="AF11" s="32">
        <v>4.7554832417125494</v>
      </c>
      <c r="AG11" s="32">
        <v>3.9428320786084941</v>
      </c>
      <c r="AH11" s="32">
        <v>4.2872054751466973</v>
      </c>
      <c r="AI11" s="32">
        <v>3.3659148267565131</v>
      </c>
      <c r="AJ11" s="32">
        <v>4.1469414465177579</v>
      </c>
      <c r="AK11" s="32">
        <v>3.868947131213083</v>
      </c>
      <c r="AL11" s="32">
        <v>5.0667657056691668</v>
      </c>
      <c r="AM11" s="26">
        <v>5.5652266541769624</v>
      </c>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7" t="s">
        <v>617</v>
      </c>
      <c r="B12" s="7"/>
      <c r="C12" s="32">
        <v>94.936534263098281</v>
      </c>
      <c r="D12" s="32">
        <v>25.872</v>
      </c>
      <c r="E12" s="32">
        <v>5.1744000000000003</v>
      </c>
      <c r="F12" s="32">
        <v>31.046399999999998</v>
      </c>
      <c r="G12" s="32">
        <v>49.268024649468316</v>
      </c>
      <c r="H12" s="32">
        <v>372.82921381113385</v>
      </c>
      <c r="I12" s="32">
        <v>2864.718689290863</v>
      </c>
      <c r="J12" s="32">
        <v>6.2620898283287936</v>
      </c>
      <c r="K12" s="32">
        <v>-212.78769031163665</v>
      </c>
      <c r="L12" s="30">
        <v>7.5673667954771009</v>
      </c>
      <c r="M12" s="32">
        <v>1.2796604907184792</v>
      </c>
      <c r="N12" s="32">
        <v>1.8372463059213542E-2</v>
      </c>
      <c r="O12" s="32">
        <v>6.2771977212306407</v>
      </c>
      <c r="P12" s="32">
        <v>5.6233132036931348</v>
      </c>
      <c r="Q12" s="32">
        <v>6.4689580745581079</v>
      </c>
      <c r="R12" s="32">
        <v>5.610230642088494</v>
      </c>
      <c r="S12" s="32">
        <v>5.3511778396785044</v>
      </c>
      <c r="T12" s="32">
        <v>5.2172948095051757</v>
      </c>
      <c r="U12" s="32">
        <v>4.4155754010640775</v>
      </c>
      <c r="V12" s="32">
        <v>4.6177731761444676</v>
      </c>
      <c r="W12" s="32">
        <v>4.3321446630688305</v>
      </c>
      <c r="X12" s="32">
        <v>5.2302819890305976</v>
      </c>
      <c r="Y12" s="32">
        <v>5.360834763253151</v>
      </c>
      <c r="Z12" s="32">
        <v>6.2329268904480255</v>
      </c>
      <c r="AA12" s="32"/>
      <c r="AB12" s="32">
        <v>3.1497928405646141</v>
      </c>
      <c r="AC12" s="32">
        <v>2.6383374706299012</v>
      </c>
      <c r="AD12" s="32">
        <v>2.5189652983410427</v>
      </c>
      <c r="AE12" s="32">
        <v>2.6203190979783053</v>
      </c>
      <c r="AF12" s="32">
        <v>2.6184759624756659</v>
      </c>
      <c r="AG12" s="32">
        <v>2.1710119660092295</v>
      </c>
      <c r="AH12" s="32">
        <v>2.3606316986668618</v>
      </c>
      <c r="AI12" s="32">
        <v>1.8533483596986504</v>
      </c>
      <c r="AJ12" s="32">
        <v>2.2833991717717383</v>
      </c>
      <c r="AK12" s="32">
        <v>2.1303292532521572</v>
      </c>
      <c r="AL12" s="32">
        <v>2.7898750838648665</v>
      </c>
      <c r="AM12" s="26">
        <v>3.0643388860820417</v>
      </c>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619</v>
      </c>
      <c r="B13" s="7"/>
      <c r="C13" s="32">
        <v>141.19769879304073</v>
      </c>
      <c r="D13" s="32">
        <v>25.872</v>
      </c>
      <c r="E13" s="32">
        <v>5.1744000000000003</v>
      </c>
      <c r="F13" s="32">
        <v>31.046399999999998</v>
      </c>
      <c r="G13" s="32">
        <v>49.268024649468316</v>
      </c>
      <c r="H13" s="32">
        <v>365.55980363266525</v>
      </c>
      <c r="I13" s="32">
        <v>1926.1394932408384</v>
      </c>
      <c r="J13" s="32">
        <v>-0.37933156158583631</v>
      </c>
      <c r="K13" s="32">
        <v>-126.69575479929152</v>
      </c>
      <c r="L13" s="30">
        <v>7.4198185584574734</v>
      </c>
      <c r="M13" s="32">
        <v>1.4277574325595022</v>
      </c>
      <c r="N13" s="32">
        <v>2.9786774179740256E-2</v>
      </c>
      <c r="O13" s="32">
        <v>10.973922473948493</v>
      </c>
      <c r="P13" s="32">
        <v>9.8903970583919989</v>
      </c>
      <c r="Q13" s="32">
        <v>11.069593661786152</v>
      </c>
      <c r="R13" s="32">
        <v>8.6862507595227978</v>
      </c>
      <c r="S13" s="32">
        <v>7.2157772582258408</v>
      </c>
      <c r="T13" s="32">
        <v>6.1028819193627193</v>
      </c>
      <c r="U13" s="32">
        <v>5.2112794737179824</v>
      </c>
      <c r="V13" s="32">
        <v>5.3158950639631612</v>
      </c>
      <c r="W13" s="32">
        <v>5.2787690818740591</v>
      </c>
      <c r="X13" s="32">
        <v>7.0811796635967985</v>
      </c>
      <c r="Y13" s="32">
        <v>7.8357476618245059</v>
      </c>
      <c r="Z13" s="32">
        <v>10.683183140544569</v>
      </c>
      <c r="AA13" s="32"/>
      <c r="AB13" s="32">
        <v>5.7701972443200704</v>
      </c>
      <c r="AC13" s="32">
        <v>4.8595422934777162</v>
      </c>
      <c r="AD13" s="32">
        <v>4.4535880801684229</v>
      </c>
      <c r="AE13" s="32">
        <v>4.1483191911884507</v>
      </c>
      <c r="AF13" s="32">
        <v>3.5243058199859196</v>
      </c>
      <c r="AG13" s="32">
        <v>2.6602432319004636</v>
      </c>
      <c r="AH13" s="32">
        <v>2.7940363785114881</v>
      </c>
      <c r="AI13" s="32">
        <v>2.3130240471000234</v>
      </c>
      <c r="AJ13" s="32">
        <v>2.7740792326556463</v>
      </c>
      <c r="AK13" s="32">
        <v>2.9243858472667297</v>
      </c>
      <c r="AL13" s="32">
        <v>4.0731165650635583</v>
      </c>
      <c r="AM13" s="26">
        <v>5.5579836446431639</v>
      </c>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618</v>
      </c>
      <c r="B14" s="7"/>
      <c r="C14" s="32">
        <v>114.9679001881766</v>
      </c>
      <c r="D14" s="32">
        <v>25.872</v>
      </c>
      <c r="E14" s="32">
        <v>5.1744000000000003</v>
      </c>
      <c r="F14" s="32">
        <v>31.046399999999998</v>
      </c>
      <c r="G14" s="32">
        <v>49.268024649468316</v>
      </c>
      <c r="H14" s="32">
        <v>280.45739037942769</v>
      </c>
      <c r="I14" s="32">
        <v>2365.5860771124117</v>
      </c>
      <c r="J14" s="32">
        <v>3.2566092240783928</v>
      </c>
      <c r="K14" s="32">
        <v>-109.97334429276586</v>
      </c>
      <c r="L14" s="30">
        <v>5.6924829516674018</v>
      </c>
      <c r="M14" s="32">
        <v>1.1237509992351498</v>
      </c>
      <c r="N14" s="32">
        <v>2.2249005776311039E-2</v>
      </c>
      <c r="O14" s="32">
        <v>7.6016703861961883</v>
      </c>
      <c r="P14" s="32">
        <v>6.8098179077971865</v>
      </c>
      <c r="Q14" s="32">
        <v>7.8338916836400641</v>
      </c>
      <c r="R14" s="32">
        <v>6.7939749591532035</v>
      </c>
      <c r="S14" s="32">
        <v>6.4802626779738439</v>
      </c>
      <c r="T14" s="32">
        <v>6.3181306708457843</v>
      </c>
      <c r="U14" s="32">
        <v>5.3472505176568834</v>
      </c>
      <c r="V14" s="32">
        <v>5.5921115061493767</v>
      </c>
      <c r="W14" s="32">
        <v>5.2462161073224856</v>
      </c>
      <c r="X14" s="32">
        <v>6.3338581120357773</v>
      </c>
      <c r="Y14" s="32">
        <v>6.4919571877247257</v>
      </c>
      <c r="Z14" s="32">
        <v>7.5480585233430721</v>
      </c>
      <c r="AA14" s="32"/>
      <c r="AB14" s="32">
        <v>3.8143910741875837</v>
      </c>
      <c r="AC14" s="32">
        <v>3.1950199292666461</v>
      </c>
      <c r="AD14" s="32">
        <v>3.0504605339245114</v>
      </c>
      <c r="AE14" s="32">
        <v>3.1731997260683582</v>
      </c>
      <c r="AF14" s="32">
        <v>3.1709676936885631</v>
      </c>
      <c r="AG14" s="32">
        <v>2.6290899383769069</v>
      </c>
      <c r="AH14" s="32">
        <v>2.8587189496643468</v>
      </c>
      <c r="AI14" s="32">
        <v>2.2444001235736861</v>
      </c>
      <c r="AJ14" s="32">
        <v>2.765190557119996</v>
      </c>
      <c r="AK14" s="32">
        <v>2.5798232772759508</v>
      </c>
      <c r="AL14" s="32">
        <v>3.3785315913299612</v>
      </c>
      <c r="AM14" s="26">
        <v>3.710906553861502</v>
      </c>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c r="B15" s="7"/>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Sheet7"/>
  <dimension ref="A1:EA120"/>
  <sheetViews>
    <sheetView workbookViewId="0">
      <selection activeCell="A40" sqref="A40"/>
    </sheetView>
  </sheetViews>
  <sheetFormatPr defaultRowHeight="12.75"/>
  <cols>
    <col min="1" max="1" width="71.42578125" bestFit="1" customWidth="1"/>
    <col min="2" max="2" width="18.7109375" customWidth="1"/>
    <col min="3" max="3" width="18" customWidth="1"/>
    <col min="15" max="15" width="11.140625" customWidth="1"/>
    <col min="16" max="16" width="14.42578125" customWidth="1"/>
  </cols>
  <sheetData>
    <row r="1" spans="1:20">
      <c r="A1" s="1" t="s">
        <v>0</v>
      </c>
      <c r="B1" s="2"/>
      <c r="C1" s="2"/>
      <c r="D1" s="2"/>
      <c r="E1" s="2"/>
      <c r="F1" s="2"/>
      <c r="G1" s="2"/>
      <c r="H1" s="3"/>
      <c r="I1" s="4"/>
      <c r="J1" s="4"/>
      <c r="K1" s="4"/>
      <c r="L1" s="4"/>
      <c r="M1" s="4"/>
      <c r="N1" s="5"/>
      <c r="O1" s="6"/>
      <c r="P1" s="5"/>
    </row>
    <row r="2" spans="1:20">
      <c r="A2" s="8" t="s">
        <v>1</v>
      </c>
      <c r="B2" s="3"/>
      <c r="C2" s="3"/>
      <c r="D2" s="3"/>
      <c r="E2" s="3"/>
      <c r="F2" s="3"/>
      <c r="G2" s="3"/>
      <c r="H2" s="3"/>
      <c r="I2" s="4"/>
      <c r="J2" s="4"/>
      <c r="K2" s="4"/>
      <c r="L2" s="4"/>
      <c r="M2" s="4"/>
      <c r="N2" s="5"/>
      <c r="O2" s="5"/>
      <c r="P2" s="5"/>
    </row>
    <row r="3" spans="1:20">
      <c r="A3" s="8" t="s">
        <v>2</v>
      </c>
      <c r="B3" s="7">
        <v>2012</v>
      </c>
      <c r="C3" s="8"/>
      <c r="D3" s="7"/>
      <c r="E3" s="7"/>
      <c r="F3" s="7"/>
      <c r="G3" s="7"/>
      <c r="H3" s="7"/>
      <c r="I3" s="7"/>
      <c r="J3" s="9"/>
      <c r="K3" s="10"/>
      <c r="L3" s="7"/>
      <c r="M3" s="7"/>
      <c r="N3" s="7"/>
      <c r="O3" s="7"/>
      <c r="P3" s="7"/>
    </row>
    <row r="4" spans="1:20">
      <c r="A4" s="7"/>
      <c r="B4" s="7"/>
      <c r="C4" s="7"/>
      <c r="D4" s="7"/>
      <c r="E4" s="7"/>
      <c r="F4" s="7"/>
      <c r="G4" s="7"/>
      <c r="H4" s="7"/>
      <c r="I4" s="7"/>
      <c r="J4" s="7"/>
      <c r="K4" s="7"/>
      <c r="L4" s="7"/>
      <c r="M4" s="7"/>
      <c r="N4" s="7"/>
      <c r="O4" s="7"/>
      <c r="P4" s="7"/>
    </row>
    <row r="5" spans="1:20">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20">
      <c r="A6" s="12" t="s">
        <v>3</v>
      </c>
      <c r="B6" s="13"/>
      <c r="C6" s="13"/>
      <c r="D6" s="13"/>
      <c r="E6" s="13"/>
      <c r="F6" s="13"/>
      <c r="G6" s="14"/>
      <c r="H6" s="15"/>
      <c r="I6" s="332" t="s">
        <v>4</v>
      </c>
      <c r="J6" s="333"/>
      <c r="K6" s="333"/>
      <c r="L6" s="333"/>
      <c r="M6" s="333"/>
      <c r="N6" s="334"/>
      <c r="O6" s="335" t="s">
        <v>5</v>
      </c>
      <c r="P6" s="336"/>
      <c r="Q6" s="250" t="s">
        <v>354</v>
      </c>
      <c r="R6" s="337" t="s">
        <v>355</v>
      </c>
      <c r="S6" s="337"/>
      <c r="T6" s="337"/>
    </row>
    <row r="7" spans="1:20" ht="38.25">
      <c r="A7" s="21" t="s">
        <v>6</v>
      </c>
      <c r="B7" s="21" t="s">
        <v>7</v>
      </c>
      <c r="C7" s="21" t="s">
        <v>8</v>
      </c>
      <c r="D7" s="21" t="s">
        <v>9</v>
      </c>
      <c r="E7" s="21" t="s">
        <v>10</v>
      </c>
      <c r="F7" s="21" t="s">
        <v>11</v>
      </c>
      <c r="G7" s="21" t="s">
        <v>12</v>
      </c>
      <c r="H7" s="21" t="s">
        <v>13</v>
      </c>
      <c r="I7" s="21" t="s">
        <v>14</v>
      </c>
      <c r="J7" s="21" t="s">
        <v>15</v>
      </c>
      <c r="K7" s="21" t="s">
        <v>16</v>
      </c>
      <c r="L7" s="21" t="s">
        <v>17</v>
      </c>
      <c r="M7" s="21" t="s">
        <v>18</v>
      </c>
      <c r="N7" s="21" t="s">
        <v>19</v>
      </c>
      <c r="O7" s="22" t="s">
        <v>20</v>
      </c>
      <c r="P7" s="21" t="s">
        <v>12</v>
      </c>
      <c r="Q7" s="251" t="s">
        <v>356</v>
      </c>
      <c r="R7" s="252" t="s">
        <v>357</v>
      </c>
      <c r="S7" s="252" t="s">
        <v>358</v>
      </c>
      <c r="T7" s="252" t="s">
        <v>359</v>
      </c>
    </row>
    <row r="8" spans="1:20">
      <c r="A8" t="str">
        <f>Increment!A21</f>
        <v>SF Showerhead Replace_2_00gpm_Any Shower_ AnyWH</v>
      </c>
      <c r="B8" t="str">
        <f>Increment!B21</f>
        <v>SF Showerhead Replace_2_00gpm_Any Shower_ AnyWH</v>
      </c>
      <c r="C8">
        <f>Increment!C21</f>
        <v>88.321577464866834</v>
      </c>
      <c r="D8">
        <f>Increment!D21</f>
        <v>10</v>
      </c>
      <c r="E8">
        <f>Increment!E21</f>
        <v>25.872</v>
      </c>
      <c r="F8">
        <f>Increment!F21</f>
        <v>0</v>
      </c>
      <c r="G8" t="s">
        <v>363</v>
      </c>
      <c r="H8">
        <f>Increment!H21</f>
        <v>21.052951449599988</v>
      </c>
      <c r="I8">
        <f>Increment!I21</f>
        <v>0</v>
      </c>
      <c r="J8">
        <f>Increment!J21</f>
        <v>0</v>
      </c>
      <c r="K8">
        <f>Increment!K21</f>
        <v>0</v>
      </c>
      <c r="L8">
        <f>Increment!L21</f>
        <v>0</v>
      </c>
      <c r="M8">
        <f>Increment!M21</f>
        <v>0</v>
      </c>
      <c r="N8">
        <f>Increment!N21</f>
        <v>0</v>
      </c>
      <c r="O8">
        <f>Increment!O21</f>
        <v>3.1967078341804047</v>
      </c>
      <c r="P8" t="s">
        <v>363</v>
      </c>
      <c r="Q8" t="s">
        <v>360</v>
      </c>
    </row>
    <row r="9" spans="1:20">
      <c r="A9" t="str">
        <f>Increment!A22</f>
        <v>SF Showerhead Replace_1_75gpm_Any Shower_ AnyWH</v>
      </c>
      <c r="B9" t="str">
        <f>Increment!B22</f>
        <v>SF Showerhead Replace_1_75gpm_Any Shower_ AnyWH</v>
      </c>
      <c r="C9">
        <f>Increment!C22</f>
        <v>52.671309915720371</v>
      </c>
      <c r="D9">
        <f>Increment!D22</f>
        <v>10</v>
      </c>
      <c r="E9">
        <f>Increment!E22</f>
        <v>0</v>
      </c>
      <c r="F9">
        <f>Increment!F22</f>
        <v>0</v>
      </c>
      <c r="G9" t="s">
        <v>363</v>
      </c>
      <c r="H9">
        <f>Increment!H22</f>
        <v>11.84228519040002</v>
      </c>
      <c r="I9">
        <f>Increment!I22</f>
        <v>0</v>
      </c>
      <c r="J9">
        <f>Increment!J22</f>
        <v>0</v>
      </c>
      <c r="K9">
        <f>Increment!K22</f>
        <v>0</v>
      </c>
      <c r="L9">
        <f>Increment!L22</f>
        <v>0</v>
      </c>
      <c r="M9">
        <f>Increment!M22</f>
        <v>0</v>
      </c>
      <c r="N9">
        <f>Increment!N22</f>
        <v>0</v>
      </c>
      <c r="O9">
        <f>Increment!O22</f>
        <v>1.9063833989050316</v>
      </c>
      <c r="P9" t="s">
        <v>363</v>
      </c>
      <c r="Q9" t="s">
        <v>360</v>
      </c>
    </row>
    <row r="10" spans="1:20">
      <c r="A10" t="str">
        <f>Increment!A23</f>
        <v>SF Showerhead Replace_1_50gpm_Any Shower_ AnyWH</v>
      </c>
      <c r="B10" t="str">
        <f>Increment!B23</f>
        <v>SF Showerhead Replace_1_50gpm_Any Shower_ AnyWH</v>
      </c>
      <c r="C10">
        <f>Increment!C23</f>
        <v>54.82441418176802</v>
      </c>
      <c r="D10">
        <f>Increment!D23</f>
        <v>10</v>
      </c>
      <c r="E10">
        <f>Increment!E23</f>
        <v>0</v>
      </c>
      <c r="F10">
        <f>Increment!F23</f>
        <v>0</v>
      </c>
      <c r="G10" t="s">
        <v>363</v>
      </c>
      <c r="H10">
        <f>Increment!H23</f>
        <v>11.842285190399991</v>
      </c>
      <c r="I10">
        <f>Increment!I23</f>
        <v>0</v>
      </c>
      <c r="J10">
        <f>Increment!J23</f>
        <v>0</v>
      </c>
      <c r="K10">
        <f>Increment!K23</f>
        <v>0</v>
      </c>
      <c r="L10">
        <f>Increment!L23</f>
        <v>0</v>
      </c>
      <c r="M10">
        <f>Increment!M23</f>
        <v>0</v>
      </c>
      <c r="N10">
        <f>Increment!N23</f>
        <v>0</v>
      </c>
      <c r="O10">
        <f>Increment!O23</f>
        <v>1.9843127732736008</v>
      </c>
      <c r="P10" t="s">
        <v>363</v>
      </c>
      <c r="Q10" t="s">
        <v>360</v>
      </c>
    </row>
    <row r="11" spans="1:20">
      <c r="A11" t="str">
        <f>Increment!A24</f>
        <v>SF Showerhead Replace_1_50GPM_any shower_HPWH</v>
      </c>
      <c r="B11" t="str">
        <f>Increment!B24</f>
        <v>SF Showerhead Replace_1_50GPM_any shower_HPWH</v>
      </c>
      <c r="C11">
        <f>Increment!C24</f>
        <v>173.82332928542399</v>
      </c>
      <c r="D11">
        <f>Increment!D24</f>
        <v>10</v>
      </c>
      <c r="E11">
        <f>Increment!E24</f>
        <v>25.872</v>
      </c>
      <c r="F11">
        <f>Increment!F24</f>
        <v>0</v>
      </c>
      <c r="G11" t="s">
        <v>603</v>
      </c>
      <c r="H11">
        <f>Increment!H24</f>
        <v>44.737521830399999</v>
      </c>
      <c r="I11">
        <f>Increment!I24</f>
        <v>0</v>
      </c>
      <c r="J11">
        <f>Increment!J24</f>
        <v>0</v>
      </c>
      <c r="K11">
        <f>Increment!K24</f>
        <v>0</v>
      </c>
      <c r="L11">
        <f>Increment!L24</f>
        <v>0</v>
      </c>
      <c r="M11">
        <f>Increment!M24</f>
        <v>0</v>
      </c>
      <c r="N11">
        <f>Increment!N24</f>
        <v>0</v>
      </c>
      <c r="Q11" t="s">
        <v>360</v>
      </c>
    </row>
    <row r="12" spans="1:20">
      <c r="A12" t="str">
        <f>Increment!A25</f>
        <v>MF Showerhead Replace_2_00gpm_Any Shower_ AnyWH</v>
      </c>
      <c r="B12" t="str">
        <f>Increment!B25</f>
        <v>MF Showerhead Replace_2_00gpm_Any Shower_ AnyWH</v>
      </c>
      <c r="C12">
        <f>Increment!C25</f>
        <v>106.9572044235664</v>
      </c>
      <c r="D12">
        <f>Increment!D25</f>
        <v>10</v>
      </c>
      <c r="E12">
        <f>Increment!E25</f>
        <v>25.872</v>
      </c>
      <c r="F12">
        <f>Increment!F25</f>
        <v>0</v>
      </c>
      <c r="G12" t="s">
        <v>363</v>
      </c>
      <c r="H12">
        <f>Increment!H25</f>
        <v>14.860906905600018</v>
      </c>
      <c r="I12">
        <f>Increment!I25</f>
        <v>0</v>
      </c>
      <c r="J12">
        <f>Increment!J25</f>
        <v>0</v>
      </c>
      <c r="K12">
        <f>Increment!K25</f>
        <v>0</v>
      </c>
      <c r="L12">
        <f>Increment!L25</f>
        <v>0</v>
      </c>
      <c r="M12">
        <f>Increment!M25</f>
        <v>0</v>
      </c>
      <c r="N12">
        <f>Increment!N25</f>
        <v>0</v>
      </c>
      <c r="O12">
        <f>Increment!O25</f>
        <v>0.26695196724510795</v>
      </c>
      <c r="P12" t="s">
        <v>363</v>
      </c>
      <c r="Q12" t="s">
        <v>360</v>
      </c>
    </row>
    <row r="13" spans="1:20">
      <c r="A13" t="str">
        <f>Increment!A26</f>
        <v>MF Showerhead Replace_1_75gpm_Any Shower_ AnyWH</v>
      </c>
      <c r="B13" t="str">
        <f>Increment!B26</f>
        <v>MF Showerhead Replace_1_75gpm_Any Shower_ AnyWH</v>
      </c>
      <c r="C13">
        <f>Increment!C26</f>
        <v>63.784821598704866</v>
      </c>
      <c r="D13">
        <f>Increment!D26</f>
        <v>10</v>
      </c>
      <c r="E13">
        <f>Increment!E26</f>
        <v>0</v>
      </c>
      <c r="F13">
        <f>Increment!F26</f>
        <v>0</v>
      </c>
      <c r="G13" t="s">
        <v>363</v>
      </c>
      <c r="H13">
        <f>Increment!H26</f>
        <v>8.3592601343999959</v>
      </c>
      <c r="I13">
        <f>Increment!I26</f>
        <v>0</v>
      </c>
      <c r="J13">
        <f>Increment!J26</f>
        <v>0</v>
      </c>
      <c r="K13">
        <f>Increment!K26</f>
        <v>0</v>
      </c>
      <c r="L13">
        <f>Increment!L26</f>
        <v>0</v>
      </c>
      <c r="M13">
        <f>Increment!M26</f>
        <v>0</v>
      </c>
      <c r="N13">
        <f>Increment!N26</f>
        <v>0</v>
      </c>
      <c r="O13">
        <f>Increment!O26</f>
        <v>0.15919903383713296</v>
      </c>
      <c r="P13" t="s">
        <v>363</v>
      </c>
      <c r="Q13" t="s">
        <v>360</v>
      </c>
    </row>
    <row r="14" spans="1:20">
      <c r="A14" t="str">
        <f>Increment!A27</f>
        <v>MF Showerhead Replace_1_50gpm_Any Shower_ AnyWH</v>
      </c>
      <c r="B14" t="str">
        <f>Increment!B27</f>
        <v>MF Showerhead Replace_1_50gpm_Any Shower_ AnyWH</v>
      </c>
      <c r="C14">
        <f>Increment!C27</f>
        <v>66.392225358228018</v>
      </c>
      <c r="D14">
        <f>Increment!D27</f>
        <v>10</v>
      </c>
      <c r="E14">
        <f>Increment!E27</f>
        <v>0</v>
      </c>
      <c r="F14">
        <f>Increment!F27</f>
        <v>0</v>
      </c>
      <c r="G14" t="s">
        <v>363</v>
      </c>
      <c r="H14">
        <f>Increment!H27</f>
        <v>8.359260134400003</v>
      </c>
      <c r="I14">
        <f>Increment!I27</f>
        <v>0</v>
      </c>
      <c r="J14">
        <f>Increment!J27</f>
        <v>0</v>
      </c>
      <c r="K14">
        <f>Increment!K27</f>
        <v>0</v>
      </c>
      <c r="L14">
        <f>Increment!L27</f>
        <v>0</v>
      </c>
      <c r="M14">
        <f>Increment!M27</f>
        <v>0</v>
      </c>
      <c r="N14">
        <f>Increment!N27</f>
        <v>0</v>
      </c>
      <c r="O14">
        <f>Increment!O27</f>
        <v>0.16570679146560008</v>
      </c>
      <c r="P14" t="s">
        <v>363</v>
      </c>
      <c r="Q14" t="s">
        <v>360</v>
      </c>
    </row>
    <row r="15" spans="1:20">
      <c r="A15" t="str">
        <f>Increment!A28</f>
        <v>MH Showerhead Replace_2_00gpm_Any Shower_ AnyWH</v>
      </c>
      <c r="B15" t="str">
        <f>Increment!B28</f>
        <v>MH Showerhead Replace_2_00gpm_Any Shower_ AnyWH</v>
      </c>
      <c r="C15">
        <f>Increment!C28</f>
        <v>131.26057966973667</v>
      </c>
      <c r="D15">
        <f>Increment!D28</f>
        <v>10</v>
      </c>
      <c r="E15">
        <f>Increment!E28</f>
        <v>25.872</v>
      </c>
      <c r="F15">
        <f>Increment!F28</f>
        <v>0</v>
      </c>
      <c r="G15" t="s">
        <v>603</v>
      </c>
      <c r="H15">
        <f>Increment!H28</f>
        <v>19.427539756800016</v>
      </c>
      <c r="I15">
        <f>Increment!I28</f>
        <v>0</v>
      </c>
      <c r="J15">
        <f>Increment!J28</f>
        <v>0</v>
      </c>
      <c r="K15">
        <f>Increment!K28</f>
        <v>0</v>
      </c>
      <c r="L15">
        <f>Increment!L28</f>
        <v>0</v>
      </c>
      <c r="M15">
        <f>Increment!M28</f>
        <v>0</v>
      </c>
      <c r="N15">
        <f>Increment!N28</f>
        <v>0</v>
      </c>
      <c r="O15">
        <f>Increment!O28</f>
        <v>0.73089119098033972</v>
      </c>
      <c r="P15" t="s">
        <v>363</v>
      </c>
      <c r="Q15" t="s">
        <v>360</v>
      </c>
    </row>
    <row r="16" spans="1:20">
      <c r="A16" t="str">
        <f>Increment!A29</f>
        <v>MH Showerhead Replace_1_75gpm_Any Shower_ AnyWH</v>
      </c>
      <c r="B16" t="str">
        <f>Increment!B29</f>
        <v>MH Showerhead Replace_1_75gpm_Any Shower_ AnyWH</v>
      </c>
      <c r="C16">
        <f>Increment!C29</f>
        <v>78.278342279970616</v>
      </c>
      <c r="D16">
        <f>Increment!D29</f>
        <v>10</v>
      </c>
      <c r="E16">
        <f>Increment!E29</f>
        <v>0</v>
      </c>
      <c r="F16">
        <f>Increment!F29</f>
        <v>0</v>
      </c>
      <c r="G16" t="s">
        <v>363</v>
      </c>
      <c r="H16">
        <f>Increment!H29</f>
        <v>10.927991113200008</v>
      </c>
      <c r="I16">
        <f>Increment!I29</f>
        <v>0</v>
      </c>
      <c r="J16">
        <f>Increment!J29</f>
        <v>0</v>
      </c>
      <c r="K16">
        <f>Increment!K29</f>
        <v>0</v>
      </c>
      <c r="L16">
        <f>Increment!L29</f>
        <v>0</v>
      </c>
      <c r="M16">
        <f>Increment!M29</f>
        <v>0</v>
      </c>
      <c r="N16">
        <f>Increment!N29</f>
        <v>0</v>
      </c>
      <c r="O16">
        <f>Increment!O29</f>
        <v>0.43587306227755018</v>
      </c>
      <c r="P16" t="s">
        <v>363</v>
      </c>
      <c r="Q16" t="s">
        <v>360</v>
      </c>
    </row>
    <row r="17" spans="1:131">
      <c r="A17" t="str">
        <f>Increment!A30</f>
        <v>MH Showerhead Replace_1_50gpm_Any Shower_ AnyWH</v>
      </c>
      <c r="B17" t="str">
        <f>Increment!B30</f>
        <v>MH Showerhead Replace_1_50gpm_Any Shower_ AnyWH</v>
      </c>
      <c r="C17">
        <f>Increment!C30</f>
        <v>81.478213955306387</v>
      </c>
      <c r="D17">
        <f>Increment!D30</f>
        <v>10</v>
      </c>
      <c r="E17">
        <f>Increment!E30</f>
        <v>0</v>
      </c>
      <c r="F17">
        <f>Increment!F30</f>
        <v>0</v>
      </c>
      <c r="G17" t="s">
        <v>363</v>
      </c>
      <c r="H17">
        <f>Increment!H30</f>
        <v>10.92799111319998</v>
      </c>
      <c r="I17">
        <f>Increment!I30</f>
        <v>0</v>
      </c>
      <c r="J17">
        <f>Increment!J30</f>
        <v>0</v>
      </c>
      <c r="K17">
        <f>Increment!K30</f>
        <v>0</v>
      </c>
      <c r="L17">
        <f>Increment!L30</f>
        <v>0</v>
      </c>
      <c r="M17">
        <f>Increment!M30</f>
        <v>0</v>
      </c>
      <c r="N17">
        <f>Increment!N30</f>
        <v>0</v>
      </c>
      <c r="O17">
        <f>Increment!O30</f>
        <v>0.45369073477034982</v>
      </c>
      <c r="P17" t="s">
        <v>363</v>
      </c>
      <c r="Q17" t="s">
        <v>360</v>
      </c>
    </row>
    <row r="18" spans="1:131">
      <c r="A18" t="str">
        <f>Increment!A31</f>
        <v>MH Showerhead Replace_1_50GPM_any shower_HPWH</v>
      </c>
      <c r="B18" t="str">
        <f>Increment!B31</f>
        <v>MH Showerhead Replace_1_50GPM_any shower_HPWH</v>
      </c>
      <c r="C18">
        <f>Increment!C31</f>
        <v>160.40314577441697</v>
      </c>
      <c r="D18">
        <f>Increment!D31</f>
        <v>10</v>
      </c>
      <c r="E18">
        <f>Increment!E31</f>
        <v>25.872</v>
      </c>
      <c r="F18">
        <f>Increment!F31</f>
        <v>0</v>
      </c>
      <c r="G18" t="s">
        <v>363</v>
      </c>
      <c r="H18">
        <f>Increment!H31</f>
        <v>41.283521983200004</v>
      </c>
      <c r="I18">
        <f>Increment!I31</f>
        <v>0</v>
      </c>
      <c r="J18">
        <f>Increment!J31</f>
        <v>0</v>
      </c>
      <c r="K18">
        <f>Increment!K31</f>
        <v>0</v>
      </c>
      <c r="L18">
        <f>Increment!L31</f>
        <v>0</v>
      </c>
      <c r="M18">
        <f>Increment!M31</f>
        <v>0</v>
      </c>
      <c r="N18">
        <f>Increment!N31</f>
        <v>0</v>
      </c>
      <c r="O18">
        <f>Increment!O31</f>
        <v>0</v>
      </c>
      <c r="Q18" t="s">
        <v>360</v>
      </c>
    </row>
    <row r="21" spans="1: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253" t="s">
        <v>364</v>
      </c>
      <c r="B22" s="25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t="s">
        <v>365</v>
      </c>
      <c r="B23" s="7" t="s">
        <v>366</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t="s">
        <v>367</v>
      </c>
      <c r="B24" s="7" t="s">
        <v>646</v>
      </c>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ht="13.5" thickBot="1">
      <c r="A26" s="24" t="s">
        <v>368</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256" t="s">
        <v>369</v>
      </c>
      <c r="C27" s="257"/>
      <c r="D27" s="257" t="s">
        <v>369</v>
      </c>
      <c r="E27" s="258"/>
      <c r="F27" s="7"/>
      <c r="G27" s="256" t="s">
        <v>370</v>
      </c>
      <c r="H27" s="257"/>
      <c r="I27" s="257"/>
      <c r="J27" s="257"/>
      <c r="K27" s="257"/>
      <c r="L27" s="257"/>
      <c r="M27" s="257"/>
      <c r="N27" s="257"/>
      <c r="O27" s="258"/>
      <c r="P27" s="7"/>
      <c r="Q27" s="256" t="s">
        <v>371</v>
      </c>
      <c r="R27" s="257"/>
      <c r="S27" s="257"/>
      <c r="T27" s="257"/>
      <c r="U27" s="258"/>
      <c r="V27" s="7"/>
      <c r="W27" s="256" t="s">
        <v>372</v>
      </c>
      <c r="X27" s="258"/>
      <c r="Y27" s="7"/>
      <c r="Z27" s="256" t="s">
        <v>373</v>
      </c>
      <c r="AA27" s="257"/>
      <c r="AB27" s="258"/>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259" t="s">
        <v>374</v>
      </c>
      <c r="C28" s="260" t="s">
        <v>200</v>
      </c>
      <c r="D28" s="260" t="s">
        <v>374</v>
      </c>
      <c r="E28" s="261" t="s">
        <v>200</v>
      </c>
      <c r="F28" s="7"/>
      <c r="G28" s="259" t="s">
        <v>375</v>
      </c>
      <c r="H28" s="260" t="s">
        <v>589</v>
      </c>
      <c r="I28" s="260"/>
      <c r="J28" s="260"/>
      <c r="K28" s="260" t="s">
        <v>376</v>
      </c>
      <c r="L28" s="260"/>
      <c r="M28" s="260"/>
      <c r="N28" s="260"/>
      <c r="O28" s="261"/>
      <c r="P28" s="7"/>
      <c r="Q28" s="259"/>
      <c r="R28" s="260" t="s">
        <v>377</v>
      </c>
      <c r="S28" s="260" t="s">
        <v>378</v>
      </c>
      <c r="T28" s="260" t="s">
        <v>379</v>
      </c>
      <c r="U28" s="261" t="s">
        <v>380</v>
      </c>
      <c r="V28" s="7"/>
      <c r="W28" s="259" t="s">
        <v>381</v>
      </c>
      <c r="X28" s="261">
        <v>20</v>
      </c>
      <c r="Y28" s="7"/>
      <c r="Z28" s="259"/>
      <c r="AA28" s="260" t="s">
        <v>200</v>
      </c>
      <c r="AB28" s="261" t="s">
        <v>201</v>
      </c>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c r="B29" s="259" t="s">
        <v>382</v>
      </c>
      <c r="C29" s="260" t="s">
        <v>383</v>
      </c>
      <c r="D29" s="260" t="s">
        <v>382</v>
      </c>
      <c r="E29" s="261" t="s">
        <v>383</v>
      </c>
      <c r="F29" s="7"/>
      <c r="G29" s="259" t="s">
        <v>384</v>
      </c>
      <c r="H29" s="260" t="s">
        <v>385</v>
      </c>
      <c r="I29" s="260"/>
      <c r="J29" s="260"/>
      <c r="K29" s="260" t="s">
        <v>386</v>
      </c>
      <c r="L29" s="260"/>
      <c r="M29" s="260"/>
      <c r="N29" s="260"/>
      <c r="O29" s="261"/>
      <c r="P29" s="7"/>
      <c r="Q29" s="259" t="s">
        <v>387</v>
      </c>
      <c r="R29" s="260">
        <v>4.3096045197740109E-2</v>
      </c>
      <c r="S29" s="260">
        <v>4.387844424080023E-2</v>
      </c>
      <c r="T29" s="260">
        <v>5.3289007766645871E-2</v>
      </c>
      <c r="U29" s="261">
        <v>5.447903102274565E-2</v>
      </c>
      <c r="V29" s="7"/>
      <c r="W29" s="259" t="s">
        <v>388</v>
      </c>
      <c r="X29" s="261">
        <v>2016</v>
      </c>
      <c r="Y29" s="7"/>
      <c r="Z29" s="259" t="s">
        <v>389</v>
      </c>
      <c r="AA29" s="260">
        <v>4.03890184699085E-3</v>
      </c>
      <c r="AB29" s="261">
        <v>0.01</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259" t="s">
        <v>390</v>
      </c>
      <c r="C30" s="260" t="s">
        <v>391</v>
      </c>
      <c r="D30" s="260" t="s">
        <v>390</v>
      </c>
      <c r="E30" s="261" t="s">
        <v>391</v>
      </c>
      <c r="F30" s="7"/>
      <c r="G30" s="259" t="s">
        <v>392</v>
      </c>
      <c r="H30" s="260" t="s">
        <v>393</v>
      </c>
      <c r="I30" s="260"/>
      <c r="J30" s="260"/>
      <c r="K30" s="260" t="s">
        <v>394</v>
      </c>
      <c r="L30" s="260"/>
      <c r="M30" s="260"/>
      <c r="N30" s="260"/>
      <c r="O30" s="261"/>
      <c r="P30" s="7"/>
      <c r="Q30" s="259" t="s">
        <v>395</v>
      </c>
      <c r="R30" s="260">
        <v>12</v>
      </c>
      <c r="S30" s="260">
        <v>12</v>
      </c>
      <c r="T30" s="260">
        <v>1</v>
      </c>
      <c r="U30" s="261">
        <v>1</v>
      </c>
      <c r="V30" s="7"/>
      <c r="W30" s="259" t="s">
        <v>396</v>
      </c>
      <c r="X30" s="261">
        <v>2016</v>
      </c>
      <c r="Y30" s="7"/>
      <c r="Z30" s="259" t="s">
        <v>397</v>
      </c>
      <c r="AA30" s="260">
        <v>26</v>
      </c>
      <c r="AB30" s="261">
        <v>0</v>
      </c>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ht="13.5" thickBot="1">
      <c r="A31" s="7"/>
      <c r="B31" s="262" t="s">
        <v>398</v>
      </c>
      <c r="C31" s="263" t="s">
        <v>391</v>
      </c>
      <c r="D31" s="263" t="s">
        <v>398</v>
      </c>
      <c r="E31" s="264" t="s">
        <v>391</v>
      </c>
      <c r="F31" s="7"/>
      <c r="G31" s="259" t="s">
        <v>399</v>
      </c>
      <c r="H31" s="260" t="s">
        <v>400</v>
      </c>
      <c r="I31" s="260"/>
      <c r="J31" s="260"/>
      <c r="K31" s="260" t="s">
        <v>386</v>
      </c>
      <c r="L31" s="260"/>
      <c r="M31" s="260"/>
      <c r="N31" s="260"/>
      <c r="O31" s="261"/>
      <c r="P31" s="7"/>
      <c r="Q31" s="259"/>
      <c r="R31" s="260" t="s">
        <v>377</v>
      </c>
      <c r="S31" s="260" t="s">
        <v>378</v>
      </c>
      <c r="T31" s="260" t="s">
        <v>379</v>
      </c>
      <c r="U31" s="261" t="s">
        <v>380</v>
      </c>
      <c r="V31" s="7"/>
      <c r="W31" s="259" t="s">
        <v>401</v>
      </c>
      <c r="X31" s="261">
        <v>2012</v>
      </c>
      <c r="Y31" s="7"/>
      <c r="Z31" s="259" t="s">
        <v>402</v>
      </c>
      <c r="AA31" s="260">
        <v>0.9</v>
      </c>
      <c r="AB31" s="261" t="s">
        <v>403</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259" t="s">
        <v>404</v>
      </c>
      <c r="H32" s="260" t="s">
        <v>393</v>
      </c>
      <c r="I32" s="260"/>
      <c r="J32" s="260"/>
      <c r="K32" s="260"/>
      <c r="L32" s="260"/>
      <c r="M32" s="260"/>
      <c r="N32" s="260"/>
      <c r="O32" s="261"/>
      <c r="P32" s="7"/>
      <c r="Q32" s="259" t="s">
        <v>405</v>
      </c>
      <c r="R32" s="260">
        <v>0.35</v>
      </c>
      <c r="S32" s="260">
        <v>0.19500000000000001</v>
      </c>
      <c r="T32" s="260">
        <v>0.45499999999999996</v>
      </c>
      <c r="U32" s="261">
        <v>0</v>
      </c>
      <c r="V32" s="7"/>
      <c r="W32" s="259" t="s">
        <v>406</v>
      </c>
      <c r="X32" s="261">
        <v>0.04</v>
      </c>
      <c r="Y32" s="7"/>
      <c r="Z32" s="259" t="s">
        <v>407</v>
      </c>
      <c r="AA32" s="260">
        <v>4.7399348199455904E-2</v>
      </c>
      <c r="AB32" s="261">
        <v>0</v>
      </c>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t="s">
        <v>408</v>
      </c>
      <c r="C33" s="7" t="s">
        <v>200</v>
      </c>
      <c r="D33" s="7"/>
      <c r="E33" s="7"/>
      <c r="F33" s="7"/>
      <c r="G33" s="259" t="s">
        <v>409</v>
      </c>
      <c r="H33" s="260" t="s">
        <v>410</v>
      </c>
      <c r="I33" s="260"/>
      <c r="J33" s="260"/>
      <c r="K33" s="260" t="s">
        <v>411</v>
      </c>
      <c r="L33" s="260"/>
      <c r="M33" s="260"/>
      <c r="N33" s="260"/>
      <c r="O33" s="261"/>
      <c r="P33" s="7"/>
      <c r="Q33" s="259" t="s">
        <v>412</v>
      </c>
      <c r="R33" s="260">
        <v>1</v>
      </c>
      <c r="S33" s="260">
        <v>0</v>
      </c>
      <c r="T33" s="260">
        <v>0</v>
      </c>
      <c r="U33" s="261">
        <v>0</v>
      </c>
      <c r="V33" s="7"/>
      <c r="W33" s="259" t="s">
        <v>413</v>
      </c>
      <c r="X33" s="261">
        <v>0</v>
      </c>
      <c r="Y33" s="7"/>
      <c r="Z33" s="259" t="s">
        <v>414</v>
      </c>
      <c r="AA33" s="260">
        <v>31</v>
      </c>
      <c r="AB33" s="261">
        <v>0</v>
      </c>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c r="A34" s="7"/>
      <c r="B34" s="7" t="s">
        <v>415</v>
      </c>
      <c r="C34" s="7" t="s">
        <v>416</v>
      </c>
      <c r="D34" s="7"/>
      <c r="E34" s="7"/>
      <c r="F34" s="7"/>
      <c r="G34" s="259" t="s">
        <v>417</v>
      </c>
      <c r="H34" s="260" t="s">
        <v>411</v>
      </c>
      <c r="I34" s="260"/>
      <c r="J34" s="260"/>
      <c r="K34" s="260" t="s">
        <v>418</v>
      </c>
      <c r="L34" s="260"/>
      <c r="M34" s="260"/>
      <c r="N34" s="260"/>
      <c r="O34" s="261"/>
      <c r="P34" s="7"/>
      <c r="Q34" s="259" t="s">
        <v>419</v>
      </c>
      <c r="R34" s="260">
        <v>1</v>
      </c>
      <c r="S34" s="260">
        <v>0</v>
      </c>
      <c r="T34" s="260">
        <v>0</v>
      </c>
      <c r="U34" s="261">
        <v>0</v>
      </c>
      <c r="V34" s="7"/>
      <c r="W34" s="259" t="s">
        <v>420</v>
      </c>
      <c r="X34" s="261">
        <v>0.2</v>
      </c>
      <c r="Y34" s="7"/>
      <c r="Z34" s="259" t="s">
        <v>421</v>
      </c>
      <c r="AA34" s="260">
        <v>0.7</v>
      </c>
      <c r="AB34" s="261" t="s">
        <v>403</v>
      </c>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c r="A35" s="7"/>
      <c r="B35" s="7" t="s">
        <v>422</v>
      </c>
      <c r="C35" s="7" t="s">
        <v>423</v>
      </c>
      <c r="D35" s="7"/>
      <c r="E35" s="7"/>
      <c r="F35" s="7"/>
      <c r="G35" s="259" t="s">
        <v>424</v>
      </c>
      <c r="H35" s="260" t="s">
        <v>418</v>
      </c>
      <c r="I35" s="260"/>
      <c r="J35" s="260"/>
      <c r="K35" s="260" t="s">
        <v>425</v>
      </c>
      <c r="L35" s="260"/>
      <c r="M35" s="260"/>
      <c r="N35" s="260"/>
      <c r="O35" s="261"/>
      <c r="P35" s="7"/>
      <c r="Q35" s="259" t="s">
        <v>426</v>
      </c>
      <c r="R35" s="260"/>
      <c r="S35" s="260">
        <v>0.3</v>
      </c>
      <c r="T35" s="260">
        <v>0.7</v>
      </c>
      <c r="U35" s="261">
        <v>0</v>
      </c>
      <c r="V35" s="7"/>
      <c r="W35" s="259" t="s">
        <v>427</v>
      </c>
      <c r="X35" s="261">
        <v>0</v>
      </c>
      <c r="Y35" s="7"/>
      <c r="Z35" s="259" t="s">
        <v>428</v>
      </c>
      <c r="AA35" s="260">
        <v>0</v>
      </c>
      <c r="AB35" s="261">
        <v>0</v>
      </c>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13.5" thickBot="1">
      <c r="A36" s="7"/>
      <c r="B36" s="7" t="s">
        <v>429</v>
      </c>
      <c r="C36" s="7" t="s">
        <v>430</v>
      </c>
      <c r="D36" s="7"/>
      <c r="E36" s="7"/>
      <c r="F36" s="7"/>
      <c r="G36" s="262" t="s">
        <v>431</v>
      </c>
      <c r="H36" s="263" t="s">
        <v>425</v>
      </c>
      <c r="I36" s="263"/>
      <c r="J36" s="263"/>
      <c r="K36" s="263"/>
      <c r="L36" s="263"/>
      <c r="M36" s="263"/>
      <c r="N36" s="263"/>
      <c r="O36" s="264"/>
      <c r="P36" s="7"/>
      <c r="Q36" s="262" t="s">
        <v>432</v>
      </c>
      <c r="R36" s="263"/>
      <c r="S36" s="263">
        <v>20</v>
      </c>
      <c r="T36" s="263"/>
      <c r="U36" s="264"/>
      <c r="V36" s="7"/>
      <c r="W36" s="262" t="s">
        <v>433</v>
      </c>
      <c r="X36" s="264">
        <v>2018</v>
      </c>
      <c r="Y36" s="7"/>
      <c r="Z36" s="262" t="s">
        <v>434</v>
      </c>
      <c r="AA36" s="263">
        <v>0</v>
      </c>
      <c r="AB36" s="264">
        <v>0</v>
      </c>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ht="13.5" thickBot="1">
      <c r="A44" s="24" t="s">
        <v>435</v>
      </c>
      <c r="B44" s="25"/>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ht="26.25" thickBot="1">
      <c r="A45" s="265" t="s">
        <v>436</v>
      </c>
      <c r="B45" s="266"/>
      <c r="C45" s="267" t="s">
        <v>437</v>
      </c>
      <c r="D45" s="268"/>
      <c r="E45" s="268"/>
      <c r="F45" s="268"/>
      <c r="G45" s="268"/>
      <c r="H45" s="268"/>
      <c r="I45" s="268"/>
      <c r="J45" s="268"/>
      <c r="K45" s="269"/>
      <c r="L45" s="267" t="s">
        <v>202</v>
      </c>
      <c r="M45" s="268"/>
      <c r="N45" s="268"/>
      <c r="O45" s="268"/>
      <c r="P45" s="268"/>
      <c r="Q45" s="269"/>
      <c r="R45" s="267" t="s">
        <v>438</v>
      </c>
      <c r="S45" s="268"/>
      <c r="T45" s="268"/>
      <c r="U45" s="269"/>
      <c r="V45" s="267" t="s">
        <v>439</v>
      </c>
      <c r="W45" s="268"/>
      <c r="X45" s="268"/>
      <c r="Y45" s="269"/>
      <c r="Z45" s="267" t="s">
        <v>440</v>
      </c>
      <c r="AA45" s="268"/>
      <c r="AB45" s="268"/>
      <c r="AC45" s="269"/>
      <c r="AD45" s="267" t="s">
        <v>441</v>
      </c>
      <c r="AE45" s="268"/>
      <c r="AF45" s="268"/>
      <c r="AG45" s="269"/>
      <c r="AH45" s="267" t="s">
        <v>442</v>
      </c>
      <c r="AI45" s="268"/>
      <c r="AJ45" s="268"/>
      <c r="AK45" s="268"/>
      <c r="AL45" s="269"/>
      <c r="AM45" s="267" t="s">
        <v>443</v>
      </c>
      <c r="AN45" s="268"/>
      <c r="AO45" s="268"/>
      <c r="AP45" s="268"/>
      <c r="AQ45" s="268"/>
      <c r="AR45" s="268"/>
      <c r="AS45" s="269"/>
      <c r="AT45" s="267" t="s">
        <v>444</v>
      </c>
      <c r="AU45" s="268"/>
      <c r="AV45" s="268"/>
      <c r="AW45" s="268"/>
      <c r="AX45" s="268"/>
      <c r="AY45" s="268"/>
      <c r="AZ45" s="269"/>
      <c r="BA45" s="267" t="s">
        <v>445</v>
      </c>
      <c r="BB45" s="268"/>
      <c r="BC45" s="268"/>
      <c r="BD45" s="268"/>
      <c r="BE45" s="268"/>
      <c r="BF45" s="269"/>
      <c r="BG45" s="267" t="s">
        <v>446</v>
      </c>
      <c r="BH45" s="269"/>
      <c r="BI45" s="267" t="s">
        <v>447</v>
      </c>
      <c r="BJ45" s="268"/>
      <c r="BK45" s="268"/>
      <c r="BL45" s="268"/>
      <c r="BM45" s="269"/>
      <c r="BN45" s="267" t="s">
        <v>448</v>
      </c>
      <c r="BO45" s="268"/>
      <c r="BP45" s="268"/>
      <c r="BQ45" s="268"/>
      <c r="BR45" s="268"/>
      <c r="BS45" s="268"/>
      <c r="BT45" s="268"/>
      <c r="BU45" s="268"/>
      <c r="BV45" s="268"/>
      <c r="BW45" s="268"/>
      <c r="BX45" s="268"/>
      <c r="BY45" s="268"/>
      <c r="BZ45" s="268"/>
      <c r="CA45" s="268"/>
      <c r="CB45" s="268"/>
      <c r="CC45" s="269"/>
      <c r="CD45" s="267" t="s">
        <v>449</v>
      </c>
      <c r="CE45" s="269"/>
      <c r="CF45" s="267" t="s">
        <v>450</v>
      </c>
      <c r="CG45" s="268"/>
      <c r="CH45" s="268"/>
      <c r="CI45" s="268"/>
      <c r="CJ45" s="268"/>
      <c r="CK45" s="269"/>
      <c r="CL45" s="270"/>
      <c r="CM45" s="267" t="s">
        <v>5</v>
      </c>
      <c r="CN45" s="268"/>
      <c r="CO45" s="268"/>
      <c r="CP45" s="269"/>
      <c r="CQ45" s="267" t="s">
        <v>451</v>
      </c>
      <c r="CR45" s="268"/>
      <c r="CS45" s="268"/>
      <c r="CT45" s="268"/>
      <c r="CU45" s="269"/>
      <c r="CV45" s="267" t="s">
        <v>452</v>
      </c>
      <c r="CW45" s="269"/>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204">
      <c r="A46" s="27" t="s">
        <v>21</v>
      </c>
      <c r="B46" s="28" t="s">
        <v>22</v>
      </c>
      <c r="C46" s="29" t="s">
        <v>340</v>
      </c>
      <c r="D46" s="29" t="s">
        <v>453</v>
      </c>
      <c r="E46" s="29" t="s">
        <v>454</v>
      </c>
      <c r="F46" s="29" t="s">
        <v>455</v>
      </c>
      <c r="G46" s="29" t="s">
        <v>456</v>
      </c>
      <c r="H46" s="29" t="s">
        <v>457</v>
      </c>
      <c r="I46" s="29" t="s">
        <v>458</v>
      </c>
      <c r="J46" s="29" t="s">
        <v>459</v>
      </c>
      <c r="K46" s="29" t="s">
        <v>460</v>
      </c>
      <c r="L46" s="29" t="s">
        <v>461</v>
      </c>
      <c r="M46" s="29" t="s">
        <v>462</v>
      </c>
      <c r="N46" s="29" t="s">
        <v>463</v>
      </c>
      <c r="O46" s="29" t="s">
        <v>464</v>
      </c>
      <c r="P46" s="29" t="s">
        <v>465</v>
      </c>
      <c r="Q46" s="29" t="s">
        <v>466</v>
      </c>
      <c r="R46" s="29" t="s">
        <v>467</v>
      </c>
      <c r="S46" s="29" t="s">
        <v>468</v>
      </c>
      <c r="T46" s="29" t="s">
        <v>469</v>
      </c>
      <c r="U46" s="29" t="s">
        <v>377</v>
      </c>
      <c r="V46" s="29" t="s">
        <v>467</v>
      </c>
      <c r="W46" s="29" t="s">
        <v>468</v>
      </c>
      <c r="X46" s="29" t="s">
        <v>469</v>
      </c>
      <c r="Y46" s="29" t="s">
        <v>377</v>
      </c>
      <c r="Z46" s="29" t="s">
        <v>467</v>
      </c>
      <c r="AA46" s="29" t="s">
        <v>468</v>
      </c>
      <c r="AB46" s="29" t="s">
        <v>469</v>
      </c>
      <c r="AC46" s="29" t="s">
        <v>377</v>
      </c>
      <c r="AD46" s="29" t="s">
        <v>467</v>
      </c>
      <c r="AE46" s="29" t="s">
        <v>468</v>
      </c>
      <c r="AF46" s="29" t="s">
        <v>469</v>
      </c>
      <c r="AG46" s="29" t="s">
        <v>377</v>
      </c>
      <c r="AH46" s="29" t="s">
        <v>467</v>
      </c>
      <c r="AI46" s="29" t="s">
        <v>468</v>
      </c>
      <c r="AJ46" s="29" t="s">
        <v>469</v>
      </c>
      <c r="AK46" s="29" t="s">
        <v>377</v>
      </c>
      <c r="AL46" s="29" t="s">
        <v>470</v>
      </c>
      <c r="AM46" s="29" t="s">
        <v>471</v>
      </c>
      <c r="AN46" s="29" t="s">
        <v>472</v>
      </c>
      <c r="AO46" s="29" t="s">
        <v>473</v>
      </c>
      <c r="AP46" s="29" t="s">
        <v>474</v>
      </c>
      <c r="AQ46" s="29" t="s">
        <v>475</v>
      </c>
      <c r="AR46" s="29" t="s">
        <v>476</v>
      </c>
      <c r="AS46" s="29" t="s">
        <v>477</v>
      </c>
      <c r="AT46" s="29" t="s">
        <v>478</v>
      </c>
      <c r="AU46" s="29" t="s">
        <v>479</v>
      </c>
      <c r="AV46" s="29" t="s">
        <v>480</v>
      </c>
      <c r="AW46" s="29" t="s">
        <v>481</v>
      </c>
      <c r="AX46" s="29" t="s">
        <v>482</v>
      </c>
      <c r="AY46" s="29" t="s">
        <v>483</v>
      </c>
      <c r="AZ46" s="29" t="s">
        <v>484</v>
      </c>
      <c r="BA46" s="29" t="s">
        <v>485</v>
      </c>
      <c r="BB46" s="29" t="s">
        <v>486</v>
      </c>
      <c r="BC46" s="29" t="s">
        <v>487</v>
      </c>
      <c r="BD46" s="29" t="s">
        <v>488</v>
      </c>
      <c r="BE46" s="29" t="s">
        <v>489</v>
      </c>
      <c r="BF46" s="29" t="s">
        <v>490</v>
      </c>
      <c r="BG46" s="29" t="s">
        <v>491</v>
      </c>
      <c r="BH46" s="29" t="s">
        <v>492</v>
      </c>
      <c r="BI46" s="29" t="s">
        <v>493</v>
      </c>
      <c r="BJ46" s="29" t="s">
        <v>494</v>
      </c>
      <c r="BK46" s="29" t="s">
        <v>495</v>
      </c>
      <c r="BL46" s="29" t="s">
        <v>496</v>
      </c>
      <c r="BM46" s="29" t="s">
        <v>497</v>
      </c>
      <c r="BN46" s="29" t="s">
        <v>498</v>
      </c>
      <c r="BO46" s="29" t="s">
        <v>499</v>
      </c>
      <c r="BP46" s="29" t="s">
        <v>500</v>
      </c>
      <c r="BQ46" s="29" t="s">
        <v>501</v>
      </c>
      <c r="BR46" s="29" t="s">
        <v>502</v>
      </c>
      <c r="BS46" s="29" t="s">
        <v>503</v>
      </c>
      <c r="BT46" s="29" t="s">
        <v>504</v>
      </c>
      <c r="BU46" s="29" t="s">
        <v>505</v>
      </c>
      <c r="BV46" s="29" t="s">
        <v>506</v>
      </c>
      <c r="BW46" s="29" t="s">
        <v>507</v>
      </c>
      <c r="BX46" s="29" t="s">
        <v>508</v>
      </c>
      <c r="BY46" s="29" t="s">
        <v>509</v>
      </c>
      <c r="BZ46" s="29" t="s">
        <v>510</v>
      </c>
      <c r="CA46" s="29" t="s">
        <v>511</v>
      </c>
      <c r="CB46" s="29" t="s">
        <v>512</v>
      </c>
      <c r="CC46" s="29" t="s">
        <v>513</v>
      </c>
      <c r="CD46" s="29" t="s">
        <v>23</v>
      </c>
      <c r="CE46" s="29" t="s">
        <v>24</v>
      </c>
      <c r="CF46" s="29" t="s">
        <v>514</v>
      </c>
      <c r="CG46" s="29" t="s">
        <v>515</v>
      </c>
      <c r="CH46" s="29" t="s">
        <v>516</v>
      </c>
      <c r="CI46" s="29" t="s">
        <v>517</v>
      </c>
      <c r="CJ46" s="29" t="s">
        <v>518</v>
      </c>
      <c r="CK46" s="29" t="s">
        <v>519</v>
      </c>
      <c r="CL46" s="29"/>
      <c r="CM46" s="29" t="s">
        <v>520</v>
      </c>
      <c r="CN46" s="29" t="s">
        <v>521</v>
      </c>
      <c r="CO46" s="29" t="s">
        <v>522</v>
      </c>
      <c r="CP46" s="29" t="s">
        <v>523</v>
      </c>
      <c r="CQ46" s="29" t="s">
        <v>524</v>
      </c>
      <c r="CR46" s="29" t="s">
        <v>525</v>
      </c>
      <c r="CS46" s="29" t="s">
        <v>526</v>
      </c>
      <c r="CT46" s="29" t="s">
        <v>527</v>
      </c>
      <c r="CU46" s="29" t="s">
        <v>528</v>
      </c>
      <c r="CV46" s="29" t="s">
        <v>529</v>
      </c>
      <c r="CW46" s="271" t="s">
        <v>530</v>
      </c>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c r="A47" s="7" t="s">
        <v>617</v>
      </c>
      <c r="B47" s="7" t="s">
        <v>617</v>
      </c>
      <c r="C47" s="26">
        <v>10</v>
      </c>
      <c r="D47" s="26">
        <v>88.321577464866834</v>
      </c>
      <c r="E47" s="26">
        <v>3.1967078341804047</v>
      </c>
      <c r="F47" s="26">
        <v>25.872</v>
      </c>
      <c r="G47" s="26">
        <v>0</v>
      </c>
      <c r="H47" s="26">
        <v>0</v>
      </c>
      <c r="I47" s="26" t="s">
        <v>363</v>
      </c>
      <c r="J47" s="26"/>
      <c r="K47" s="26"/>
      <c r="L47" s="26">
        <v>94.936534263098281</v>
      </c>
      <c r="M47" s="26">
        <v>1.8372463059213542E-2</v>
      </c>
      <c r="N47" s="26">
        <v>1.8239858859865211E-2</v>
      </c>
      <c r="O47" s="26">
        <v>3.2286749125222087</v>
      </c>
      <c r="P47" s="26">
        <v>0</v>
      </c>
      <c r="Q47" s="26">
        <v>0</v>
      </c>
      <c r="R47" s="26">
        <v>5.1592224111681997</v>
      </c>
      <c r="S47" s="26">
        <v>11.922178278910664</v>
      </c>
      <c r="T47" s="26">
        <v>0</v>
      </c>
      <c r="U47" s="26">
        <v>27.012223959389452</v>
      </c>
      <c r="V47" s="26" t="s">
        <v>531</v>
      </c>
      <c r="W47" s="26" t="s">
        <v>531</v>
      </c>
      <c r="X47" s="26" t="s">
        <v>531</v>
      </c>
      <c r="Y47" s="26" t="s">
        <v>531</v>
      </c>
      <c r="Z47" s="26">
        <v>0</v>
      </c>
      <c r="AA47" s="26">
        <v>0</v>
      </c>
      <c r="AB47" s="26">
        <v>0</v>
      </c>
      <c r="AC47" s="26">
        <v>0</v>
      </c>
      <c r="AD47" s="26">
        <v>0</v>
      </c>
      <c r="AE47" s="26">
        <v>0</v>
      </c>
      <c r="AF47" s="26">
        <v>0</v>
      </c>
      <c r="AG47" s="26">
        <v>0</v>
      </c>
      <c r="AH47" s="26">
        <v>5.1592224111681997</v>
      </c>
      <c r="AI47" s="26">
        <v>11.922178278910664</v>
      </c>
      <c r="AJ47" s="26">
        <v>0</v>
      </c>
      <c r="AK47" s="26">
        <v>27.012223959389452</v>
      </c>
      <c r="AL47" s="26">
        <v>44.093624649468318</v>
      </c>
      <c r="AM47" s="26">
        <v>49.018578231460431</v>
      </c>
      <c r="AN47" s="26">
        <v>6.4918819871249607</v>
      </c>
      <c r="AO47" s="26">
        <v>0</v>
      </c>
      <c r="AP47" s="26">
        <v>0</v>
      </c>
      <c r="AQ47" s="26">
        <v>55.510460218585393</v>
      </c>
      <c r="AR47" s="26">
        <v>5.1592224111681997</v>
      </c>
      <c r="AS47" s="30">
        <v>10.75946253032658</v>
      </c>
      <c r="AT47" s="26">
        <v>49.018578231460431</v>
      </c>
      <c r="AU47" s="26">
        <v>7.68445466614327</v>
      </c>
      <c r="AV47" s="26">
        <v>0</v>
      </c>
      <c r="AW47" s="26">
        <v>0</v>
      </c>
      <c r="AX47" s="26">
        <v>56.703032897603698</v>
      </c>
      <c r="AY47" s="26">
        <v>11.922178278910664</v>
      </c>
      <c r="AZ47" s="30">
        <v>4.7560967107752967</v>
      </c>
      <c r="BA47" s="26">
        <v>49.018578231460431</v>
      </c>
      <c r="BB47" s="26">
        <v>14.17633665326823</v>
      </c>
      <c r="BC47" s="26">
        <v>0</v>
      </c>
      <c r="BD47" s="26">
        <v>0</v>
      </c>
      <c r="BE47" s="26">
        <v>63.194914884728661</v>
      </c>
      <c r="BF47" s="26">
        <v>17.081400690078866</v>
      </c>
      <c r="BG47" s="26">
        <v>2.2516062789156077</v>
      </c>
      <c r="BH47" s="30">
        <v>3.6996330705732592</v>
      </c>
      <c r="BI47" s="26">
        <v>3.9987199690309803</v>
      </c>
      <c r="BJ47" s="26">
        <v>9.2404336465565944</v>
      </c>
      <c r="BK47" s="26">
        <v>0</v>
      </c>
      <c r="BL47" s="26">
        <v>20.936162612514718</v>
      </c>
      <c r="BM47" s="26">
        <v>34.17531622810229</v>
      </c>
      <c r="BN47" s="26">
        <v>49.018578231460431</v>
      </c>
      <c r="BO47" s="26">
        <v>23.517818201580901</v>
      </c>
      <c r="BP47" s="26">
        <v>14.17633665326823</v>
      </c>
      <c r="BQ47" s="26">
        <v>0</v>
      </c>
      <c r="BR47" s="26">
        <v>0</v>
      </c>
      <c r="BS47" s="26">
        <v>0</v>
      </c>
      <c r="BT47" s="26">
        <v>0</v>
      </c>
      <c r="BU47" s="26">
        <v>0</v>
      </c>
      <c r="BV47" s="26">
        <v>286.11648072482433</v>
      </c>
      <c r="BW47" s="26">
        <v>0</v>
      </c>
      <c r="BX47" s="26">
        <v>44.093624649468318</v>
      </c>
      <c r="BY47" s="26"/>
      <c r="BZ47" s="26">
        <v>0</v>
      </c>
      <c r="CA47" s="26">
        <v>0</v>
      </c>
      <c r="CB47" s="26">
        <v>372.82921381113385</v>
      </c>
      <c r="CC47" s="26">
        <v>44.093624649468318</v>
      </c>
      <c r="CD47" s="30">
        <v>8.4553995452861788</v>
      </c>
      <c r="CE47" s="26">
        <v>-216.79817386104986</v>
      </c>
      <c r="CF47" s="26">
        <v>0.90190552595338069</v>
      </c>
      <c r="CG47" s="26">
        <v>0.37775496476509857</v>
      </c>
      <c r="CH47" s="26">
        <v>1.2796604907184792</v>
      </c>
      <c r="CI47" s="26">
        <v>4.5094853774971674E-2</v>
      </c>
      <c r="CJ47" s="26">
        <v>1.8887748238254915E-2</v>
      </c>
      <c r="CK47" s="26">
        <v>6.3982602013226586E-2</v>
      </c>
      <c r="CL47" s="26"/>
      <c r="CM47" s="26">
        <v>3.1967078341804047</v>
      </c>
      <c r="CN47" s="26" t="s">
        <v>363</v>
      </c>
      <c r="CO47" s="26">
        <v>0</v>
      </c>
      <c r="CP47" s="26">
        <v>0</v>
      </c>
      <c r="CQ47" s="26">
        <v>23.517818201580901</v>
      </c>
      <c r="CR47" s="26">
        <v>0</v>
      </c>
      <c r="CS47" s="26">
        <v>0</v>
      </c>
      <c r="CT47" s="26">
        <v>23.517818201580901</v>
      </c>
      <c r="CU47" s="26">
        <v>0</v>
      </c>
      <c r="CV47" s="26">
        <v>0</v>
      </c>
      <c r="CW47" s="30">
        <v>9999</v>
      </c>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c r="A48" s="7" t="s">
        <v>620</v>
      </c>
      <c r="B48" s="7" t="s">
        <v>620</v>
      </c>
      <c r="C48" s="26">
        <v>10</v>
      </c>
      <c r="D48" s="26">
        <v>52.671309915720371</v>
      </c>
      <c r="E48" s="26">
        <v>1.9063833989050316</v>
      </c>
      <c r="F48" s="26">
        <v>0</v>
      </c>
      <c r="G48" s="26">
        <v>0</v>
      </c>
      <c r="H48" s="26">
        <v>0</v>
      </c>
      <c r="I48" s="26" t="s">
        <v>363</v>
      </c>
      <c r="J48" s="26"/>
      <c r="K48" s="26"/>
      <c r="L48" s="26">
        <v>56.616194615468245</v>
      </c>
      <c r="M48" s="26">
        <v>1.0956571694973402E-2</v>
      </c>
      <c r="N48" s="26">
        <v>1.0877492073883298E-2</v>
      </c>
      <c r="O48" s="26">
        <v>1.9254472328940819</v>
      </c>
      <c r="P48" s="26">
        <v>0</v>
      </c>
      <c r="Q48" s="26">
        <v>0</v>
      </c>
      <c r="R48" s="26">
        <v>0</v>
      </c>
      <c r="S48" s="26">
        <v>0</v>
      </c>
      <c r="T48" s="26">
        <v>0</v>
      </c>
      <c r="U48" s="26">
        <v>0</v>
      </c>
      <c r="V48" s="26" t="s">
        <v>531</v>
      </c>
      <c r="W48" s="26" t="s">
        <v>531</v>
      </c>
      <c r="X48" s="26" t="s">
        <v>531</v>
      </c>
      <c r="Y48" s="26" t="s">
        <v>531</v>
      </c>
      <c r="Z48" s="26">
        <v>0</v>
      </c>
      <c r="AA48" s="26">
        <v>0</v>
      </c>
      <c r="AB48" s="26">
        <v>0</v>
      </c>
      <c r="AC48" s="26">
        <v>0</v>
      </c>
      <c r="AD48" s="26">
        <v>0</v>
      </c>
      <c r="AE48" s="26">
        <v>0</v>
      </c>
      <c r="AF48" s="26">
        <v>0</v>
      </c>
      <c r="AG48" s="26">
        <v>0</v>
      </c>
      <c r="AH48" s="26">
        <v>0</v>
      </c>
      <c r="AI48" s="26">
        <v>0</v>
      </c>
      <c r="AJ48" s="26">
        <v>0</v>
      </c>
      <c r="AK48" s="26">
        <v>0</v>
      </c>
      <c r="AL48" s="26">
        <v>0</v>
      </c>
      <c r="AM48" s="26">
        <v>29.232638272162525</v>
      </c>
      <c r="AN48" s="26">
        <v>3.8714880088748305</v>
      </c>
      <c r="AO48" s="26">
        <v>0</v>
      </c>
      <c r="AP48" s="26">
        <v>0</v>
      </c>
      <c r="AQ48" s="26">
        <v>33.104126281037352</v>
      </c>
      <c r="AR48" s="26">
        <v>0</v>
      </c>
      <c r="AS48" s="30">
        <v>9999</v>
      </c>
      <c r="AT48" s="26">
        <v>29.232638272162525</v>
      </c>
      <c r="AU48" s="26">
        <v>4.5826886800650755</v>
      </c>
      <c r="AV48" s="26">
        <v>0</v>
      </c>
      <c r="AW48" s="26">
        <v>0</v>
      </c>
      <c r="AX48" s="26">
        <v>33.815326952227601</v>
      </c>
      <c r="AY48" s="26">
        <v>0</v>
      </c>
      <c r="AZ48" s="30">
        <v>9999</v>
      </c>
      <c r="BA48" s="26">
        <v>29.232638272162525</v>
      </c>
      <c r="BB48" s="26">
        <v>8.4541766889399064</v>
      </c>
      <c r="BC48" s="26">
        <v>0</v>
      </c>
      <c r="BD48" s="26">
        <v>0</v>
      </c>
      <c r="BE48" s="26">
        <v>37.686814961102428</v>
      </c>
      <c r="BF48" s="26">
        <v>0</v>
      </c>
      <c r="BG48" s="26">
        <v>-10.987547336671968</v>
      </c>
      <c r="BH48" s="30">
        <v>9999</v>
      </c>
      <c r="BI48" s="26">
        <v>0</v>
      </c>
      <c r="BJ48" s="26">
        <v>0</v>
      </c>
      <c r="BK48" s="26">
        <v>0</v>
      </c>
      <c r="BL48" s="26">
        <v>0</v>
      </c>
      <c r="BM48" s="26">
        <v>0</v>
      </c>
      <c r="BN48" s="26">
        <v>29.232638272162525</v>
      </c>
      <c r="BO48" s="26">
        <v>14.02504718090861</v>
      </c>
      <c r="BP48" s="26">
        <v>8.4541766889399064</v>
      </c>
      <c r="BQ48" s="26">
        <v>0</v>
      </c>
      <c r="BR48" s="26">
        <v>0</v>
      </c>
      <c r="BS48" s="26">
        <v>0</v>
      </c>
      <c r="BT48" s="26">
        <v>0</v>
      </c>
      <c r="BU48" s="26">
        <v>0</v>
      </c>
      <c r="BV48" s="26">
        <v>160.94052040771399</v>
      </c>
      <c r="BW48" s="26">
        <v>0</v>
      </c>
      <c r="BX48" s="26">
        <v>0</v>
      </c>
      <c r="BY48" s="26"/>
      <c r="BZ48" s="26">
        <v>0</v>
      </c>
      <c r="CA48" s="26">
        <v>0</v>
      </c>
      <c r="CB48" s="26">
        <v>212.65238254972505</v>
      </c>
      <c r="CC48" s="26">
        <v>0</v>
      </c>
      <c r="CD48" s="30">
        <v>9999</v>
      </c>
      <c r="CE48" s="26">
        <v>-238.38313260787731</v>
      </c>
      <c r="CF48" s="26">
        <v>0.5378588883456934</v>
      </c>
      <c r="CG48" s="26">
        <v>0.22527732624860755</v>
      </c>
      <c r="CH48" s="26">
        <v>0.76313621459430092</v>
      </c>
      <c r="CI48" s="26">
        <v>2.6892692442347418E-2</v>
      </c>
      <c r="CJ48" s="26">
        <v>1.1263866312430378E-2</v>
      </c>
      <c r="CK48" s="26">
        <v>3.8156558754777796E-2</v>
      </c>
      <c r="CL48" s="26"/>
      <c r="CM48" s="26">
        <v>1.9063833989050316</v>
      </c>
      <c r="CN48" s="26" t="s">
        <v>363</v>
      </c>
      <c r="CO48" s="26">
        <v>0</v>
      </c>
      <c r="CP48" s="26">
        <v>0</v>
      </c>
      <c r="CQ48" s="26">
        <v>14.02504718090861</v>
      </c>
      <c r="CR48" s="26">
        <v>0</v>
      </c>
      <c r="CS48" s="26">
        <v>0</v>
      </c>
      <c r="CT48" s="26">
        <v>14.02504718090861</v>
      </c>
      <c r="CU48" s="26">
        <v>0</v>
      </c>
      <c r="CV48" s="26">
        <v>0</v>
      </c>
      <c r="CW48" s="30">
        <v>9999</v>
      </c>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t="s">
        <v>623</v>
      </c>
      <c r="B49" s="7" t="s">
        <v>623</v>
      </c>
      <c r="C49" s="26">
        <v>10</v>
      </c>
      <c r="D49" s="26">
        <v>54.82441418176802</v>
      </c>
      <c r="E49" s="26">
        <v>1.9843127732736008</v>
      </c>
      <c r="F49" s="26">
        <v>0</v>
      </c>
      <c r="G49" s="26">
        <v>0</v>
      </c>
      <c r="H49" s="26">
        <v>0</v>
      </c>
      <c r="I49" s="26" t="s">
        <v>363</v>
      </c>
      <c r="J49" s="26"/>
      <c r="K49" s="26"/>
      <c r="L49" s="26">
        <v>58.930558362050633</v>
      </c>
      <c r="M49" s="26">
        <v>1.1404455776372774E-2</v>
      </c>
      <c r="N49" s="26">
        <v>1.1322143528833871E-2</v>
      </c>
      <c r="O49" s="26">
        <v>2.004155901006337</v>
      </c>
      <c r="P49" s="26">
        <v>0</v>
      </c>
      <c r="Q49" s="26">
        <v>0</v>
      </c>
      <c r="R49" s="26">
        <v>0</v>
      </c>
      <c r="S49" s="26">
        <v>0</v>
      </c>
      <c r="T49" s="26">
        <v>0</v>
      </c>
      <c r="U49" s="26">
        <v>0</v>
      </c>
      <c r="V49" s="26" t="s">
        <v>531</v>
      </c>
      <c r="W49" s="26" t="s">
        <v>531</v>
      </c>
      <c r="X49" s="26" t="s">
        <v>531</v>
      </c>
      <c r="Y49" s="26" t="s">
        <v>531</v>
      </c>
      <c r="Z49" s="26">
        <v>0</v>
      </c>
      <c r="AA49" s="26">
        <v>0</v>
      </c>
      <c r="AB49" s="26">
        <v>0</v>
      </c>
      <c r="AC49" s="26">
        <v>0</v>
      </c>
      <c r="AD49" s="26">
        <v>0</v>
      </c>
      <c r="AE49" s="26">
        <v>0</v>
      </c>
      <c r="AF49" s="26">
        <v>0</v>
      </c>
      <c r="AG49" s="26">
        <v>0</v>
      </c>
      <c r="AH49" s="26">
        <v>0</v>
      </c>
      <c r="AI49" s="26">
        <v>0</v>
      </c>
      <c r="AJ49" s="26">
        <v>0</v>
      </c>
      <c r="AK49" s="26">
        <v>0</v>
      </c>
      <c r="AL49" s="26">
        <v>0</v>
      </c>
      <c r="AM49" s="26">
        <v>30.427613644378141</v>
      </c>
      <c r="AN49" s="26">
        <v>4.0297471704791041</v>
      </c>
      <c r="AO49" s="26">
        <v>0</v>
      </c>
      <c r="AP49" s="26">
        <v>0</v>
      </c>
      <c r="AQ49" s="26">
        <v>34.457360814857246</v>
      </c>
      <c r="AR49" s="26">
        <v>0</v>
      </c>
      <c r="AS49" s="30">
        <v>9999</v>
      </c>
      <c r="AT49" s="26">
        <v>30.427613644378141</v>
      </c>
      <c r="AU49" s="26">
        <v>4.7700203899239053</v>
      </c>
      <c r="AV49" s="26">
        <v>0</v>
      </c>
      <c r="AW49" s="26">
        <v>0</v>
      </c>
      <c r="AX49" s="26">
        <v>35.197634034302048</v>
      </c>
      <c r="AY49" s="26">
        <v>0</v>
      </c>
      <c r="AZ49" s="30">
        <v>9999</v>
      </c>
      <c r="BA49" s="26">
        <v>30.427613644378141</v>
      </c>
      <c r="BB49" s="26">
        <v>8.7997675604030086</v>
      </c>
      <c r="BC49" s="26">
        <v>0</v>
      </c>
      <c r="BD49" s="26">
        <v>0</v>
      </c>
      <c r="BE49" s="26">
        <v>39.227381204781153</v>
      </c>
      <c r="BF49" s="26">
        <v>0</v>
      </c>
      <c r="BG49" s="26">
        <v>-10.987547336671975</v>
      </c>
      <c r="BH49" s="30">
        <v>9999</v>
      </c>
      <c r="BI49" s="26">
        <v>0</v>
      </c>
      <c r="BJ49" s="26">
        <v>0</v>
      </c>
      <c r="BK49" s="26">
        <v>0</v>
      </c>
      <c r="BL49" s="26">
        <v>0</v>
      </c>
      <c r="BM49" s="26">
        <v>0</v>
      </c>
      <c r="BN49" s="26">
        <v>30.427613644378141</v>
      </c>
      <c r="BO49" s="26">
        <v>14.598364779522635</v>
      </c>
      <c r="BP49" s="26">
        <v>8.7997675604030086</v>
      </c>
      <c r="BQ49" s="26">
        <v>0</v>
      </c>
      <c r="BR49" s="26">
        <v>0</v>
      </c>
      <c r="BS49" s="26">
        <v>0</v>
      </c>
      <c r="BT49" s="26">
        <v>0</v>
      </c>
      <c r="BU49" s="26">
        <v>0</v>
      </c>
      <c r="BV49" s="26">
        <v>160.94052040771365</v>
      </c>
      <c r="BW49" s="26">
        <v>0</v>
      </c>
      <c r="BX49" s="26">
        <v>0</v>
      </c>
      <c r="BY49" s="26"/>
      <c r="BZ49" s="26">
        <v>0</v>
      </c>
      <c r="CA49" s="26">
        <v>0</v>
      </c>
      <c r="CB49" s="26">
        <v>214.76626639201743</v>
      </c>
      <c r="CC49" s="26">
        <v>0</v>
      </c>
      <c r="CD49" s="30">
        <v>9999</v>
      </c>
      <c r="CE49" s="26">
        <v>-230.16854242343911</v>
      </c>
      <c r="CF49" s="26">
        <v>0.55984554994347424</v>
      </c>
      <c r="CG49" s="26">
        <v>0.23448624041774171</v>
      </c>
      <c r="CH49" s="26">
        <v>0.79433179036121593</v>
      </c>
      <c r="CI49" s="26">
        <v>2.7992015221974045E-2</v>
      </c>
      <c r="CJ49" s="26">
        <v>1.172431202088707E-2</v>
      </c>
      <c r="CK49" s="26">
        <v>3.9716327242861116E-2</v>
      </c>
      <c r="CL49" s="26"/>
      <c r="CM49" s="26">
        <v>1.9843127732736008</v>
      </c>
      <c r="CN49" s="26" t="s">
        <v>363</v>
      </c>
      <c r="CO49" s="26">
        <v>0</v>
      </c>
      <c r="CP49" s="26">
        <v>0</v>
      </c>
      <c r="CQ49" s="26">
        <v>14.598364779522635</v>
      </c>
      <c r="CR49" s="26">
        <v>0</v>
      </c>
      <c r="CS49" s="26">
        <v>0</v>
      </c>
      <c r="CT49" s="26">
        <v>14.598364779522635</v>
      </c>
      <c r="CU49" s="26">
        <v>0</v>
      </c>
      <c r="CV49" s="26">
        <v>0</v>
      </c>
      <c r="CW49" s="30">
        <v>9999</v>
      </c>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t="s">
        <v>614</v>
      </c>
      <c r="B50" s="7" t="s">
        <v>614</v>
      </c>
      <c r="C50" s="26">
        <v>10</v>
      </c>
      <c r="D50" s="26">
        <v>173.82332928542399</v>
      </c>
      <c r="E50" s="26">
        <v>0</v>
      </c>
      <c r="F50" s="26">
        <v>25.872</v>
      </c>
      <c r="G50" s="26">
        <v>0</v>
      </c>
      <c r="H50" s="26">
        <v>0</v>
      </c>
      <c r="I50" s="26" t="s">
        <v>603</v>
      </c>
      <c r="J50" s="26"/>
      <c r="K50" s="26"/>
      <c r="L50" s="26">
        <v>186.98267334641028</v>
      </c>
      <c r="M50" s="26">
        <v>3.9445477611198661E-2</v>
      </c>
      <c r="N50" s="26">
        <v>3.9160777842872148E-2</v>
      </c>
      <c r="O50" s="26">
        <v>0</v>
      </c>
      <c r="P50" s="26">
        <v>0</v>
      </c>
      <c r="Q50" s="26">
        <v>0</v>
      </c>
      <c r="R50" s="26">
        <v>5.1592224111681997</v>
      </c>
      <c r="S50" s="26">
        <v>11.922178278910664</v>
      </c>
      <c r="T50" s="26">
        <v>0</v>
      </c>
      <c r="U50" s="26">
        <v>27.012223959389452</v>
      </c>
      <c r="V50" s="26" t="s">
        <v>531</v>
      </c>
      <c r="W50" s="26" t="s">
        <v>531</v>
      </c>
      <c r="X50" s="26" t="s">
        <v>531</v>
      </c>
      <c r="Y50" s="26" t="s">
        <v>531</v>
      </c>
      <c r="Z50" s="26">
        <v>0</v>
      </c>
      <c r="AA50" s="26">
        <v>0</v>
      </c>
      <c r="AB50" s="26">
        <v>0</v>
      </c>
      <c r="AC50" s="26">
        <v>0</v>
      </c>
      <c r="AD50" s="26">
        <v>0</v>
      </c>
      <c r="AE50" s="26">
        <v>0</v>
      </c>
      <c r="AF50" s="26">
        <v>0</v>
      </c>
      <c r="AG50" s="26">
        <v>0</v>
      </c>
      <c r="AH50" s="26">
        <v>5.1592224111681997</v>
      </c>
      <c r="AI50" s="26">
        <v>11.922178278910664</v>
      </c>
      <c r="AJ50" s="26">
        <v>0</v>
      </c>
      <c r="AK50" s="26">
        <v>27.012223959389452</v>
      </c>
      <c r="AL50" s="26">
        <v>44.093624649468318</v>
      </c>
      <c r="AM50" s="26">
        <v>96.899398156776385</v>
      </c>
      <c r="AN50" s="26">
        <v>13.937999752801961</v>
      </c>
      <c r="AO50" s="26">
        <v>0</v>
      </c>
      <c r="AP50" s="26">
        <v>0</v>
      </c>
      <c r="AQ50" s="26">
        <v>110.83739790957834</v>
      </c>
      <c r="AR50" s="26">
        <v>5.1592224111681997</v>
      </c>
      <c r="AS50" s="30">
        <v>21.483353318835018</v>
      </c>
      <c r="AT50" s="26">
        <v>96.899398156776385</v>
      </c>
      <c r="AU50" s="26">
        <v>16.498440275029775</v>
      </c>
      <c r="AV50" s="26">
        <v>0</v>
      </c>
      <c r="AW50" s="26">
        <v>0</v>
      </c>
      <c r="AX50" s="26">
        <v>113.39783843180616</v>
      </c>
      <c r="AY50" s="26">
        <v>11.922178278910664</v>
      </c>
      <c r="AZ50" s="30">
        <v>9.511503332608056</v>
      </c>
      <c r="BA50" s="26">
        <v>96.899398156776385</v>
      </c>
      <c r="BB50" s="26">
        <v>30.436440027831736</v>
      </c>
      <c r="BC50" s="26">
        <v>0</v>
      </c>
      <c r="BD50" s="26">
        <v>0</v>
      </c>
      <c r="BE50" s="26">
        <v>127.33583818460812</v>
      </c>
      <c r="BF50" s="26">
        <v>17.081400690078866</v>
      </c>
      <c r="BG50" s="26">
        <v>-5.2554985581952272</v>
      </c>
      <c r="BH50" s="30">
        <v>7.4546485089227312</v>
      </c>
      <c r="BI50" s="26">
        <v>2.0302662730954748</v>
      </c>
      <c r="BJ50" s="26">
        <v>4.691636555366685</v>
      </c>
      <c r="BK50" s="26">
        <v>0</v>
      </c>
      <c r="BL50" s="26">
        <v>10.629897859672242</v>
      </c>
      <c r="BM50" s="26">
        <v>17.351800688134404</v>
      </c>
      <c r="BN50" s="26">
        <v>96.899398156776385</v>
      </c>
      <c r="BO50" s="26">
        <v>0</v>
      </c>
      <c r="BP50" s="26">
        <v>30.436440027831736</v>
      </c>
      <c r="BQ50" s="26">
        <v>0</v>
      </c>
      <c r="BR50" s="26">
        <v>0</v>
      </c>
      <c r="BS50" s="26">
        <v>0</v>
      </c>
      <c r="BT50" s="26">
        <v>0</v>
      </c>
      <c r="BU50" s="26">
        <v>0</v>
      </c>
      <c r="BV50" s="26">
        <v>607.99752154025202</v>
      </c>
      <c r="BW50" s="26">
        <v>0</v>
      </c>
      <c r="BX50" s="26">
        <v>44.093624649468318</v>
      </c>
      <c r="BY50" s="26"/>
      <c r="BZ50" s="26">
        <v>0</v>
      </c>
      <c r="CA50" s="26">
        <v>0</v>
      </c>
      <c r="CB50" s="26">
        <v>735.3333597248602</v>
      </c>
      <c r="CC50" s="26">
        <v>44.093624649468318</v>
      </c>
      <c r="CD50" s="30">
        <v>16.676636714957088</v>
      </c>
      <c r="CE50" s="26">
        <v>-233.8858542275639</v>
      </c>
      <c r="CF50" s="26">
        <v>1.7763484831262344</v>
      </c>
      <c r="CG50" s="26">
        <v>0</v>
      </c>
      <c r="CH50" s="26">
        <v>1.7763484831262344</v>
      </c>
      <c r="CI50" s="26">
        <v>8.8816769839544868E-2</v>
      </c>
      <c r="CJ50" s="26">
        <v>0</v>
      </c>
      <c r="CK50" s="26">
        <v>8.8816769839544868E-2</v>
      </c>
      <c r="CL50" s="26"/>
      <c r="CM50" s="26">
        <v>0</v>
      </c>
      <c r="CN50" s="26"/>
      <c r="CO50" s="26">
        <v>0</v>
      </c>
      <c r="CP50" s="26">
        <v>0</v>
      </c>
      <c r="CQ50" s="26">
        <v>0</v>
      </c>
      <c r="CR50" s="26">
        <v>0</v>
      </c>
      <c r="CS50" s="26">
        <v>0</v>
      </c>
      <c r="CT50" s="26">
        <v>0</v>
      </c>
      <c r="CU50" s="26">
        <v>0</v>
      </c>
      <c r="CV50" s="26">
        <v>9999</v>
      </c>
      <c r="CW50" s="30">
        <v>9999</v>
      </c>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t="s">
        <v>618</v>
      </c>
      <c r="B51" s="7" t="s">
        <v>618</v>
      </c>
      <c r="C51" s="26">
        <v>10</v>
      </c>
      <c r="D51" s="26">
        <v>106.9572044235664</v>
      </c>
      <c r="E51" s="26">
        <v>0.26695196724510795</v>
      </c>
      <c r="F51" s="26">
        <v>25.872</v>
      </c>
      <c r="G51" s="26">
        <v>0</v>
      </c>
      <c r="H51" s="26">
        <v>0</v>
      </c>
      <c r="I51" s="26" t="s">
        <v>363</v>
      </c>
      <c r="J51" s="26"/>
      <c r="K51" s="26"/>
      <c r="L51" s="26">
        <v>114.9679001881766</v>
      </c>
      <c r="M51" s="26">
        <v>2.2249005776311039E-2</v>
      </c>
      <c r="N51" s="26">
        <v>2.2088422430041384E-2</v>
      </c>
      <c r="O51" s="26">
        <v>0.26962148691755905</v>
      </c>
      <c r="P51" s="26">
        <v>0</v>
      </c>
      <c r="Q51" s="26">
        <v>0</v>
      </c>
      <c r="R51" s="26">
        <v>5.1592224111681997</v>
      </c>
      <c r="S51" s="26">
        <v>11.922178278910664</v>
      </c>
      <c r="T51" s="26">
        <v>0</v>
      </c>
      <c r="U51" s="26">
        <v>27.012223959389452</v>
      </c>
      <c r="V51" s="26" t="s">
        <v>531</v>
      </c>
      <c r="W51" s="26" t="s">
        <v>531</v>
      </c>
      <c r="X51" s="26" t="s">
        <v>531</v>
      </c>
      <c r="Y51" s="26" t="s">
        <v>531</v>
      </c>
      <c r="Z51" s="26">
        <v>0</v>
      </c>
      <c r="AA51" s="26">
        <v>0</v>
      </c>
      <c r="AB51" s="26">
        <v>0</v>
      </c>
      <c r="AC51" s="26">
        <v>0</v>
      </c>
      <c r="AD51" s="26">
        <v>0</v>
      </c>
      <c r="AE51" s="26">
        <v>0</v>
      </c>
      <c r="AF51" s="26">
        <v>0</v>
      </c>
      <c r="AG51" s="26">
        <v>0</v>
      </c>
      <c r="AH51" s="26">
        <v>5.1592224111681997</v>
      </c>
      <c r="AI51" s="26">
        <v>11.922178278910664</v>
      </c>
      <c r="AJ51" s="26">
        <v>0</v>
      </c>
      <c r="AK51" s="26">
        <v>27.012223959389452</v>
      </c>
      <c r="AL51" s="26">
        <v>44.093624649468318</v>
      </c>
      <c r="AM51" s="26">
        <v>59.361372871090822</v>
      </c>
      <c r="AN51" s="26">
        <v>7.8616524831295891</v>
      </c>
      <c r="AO51" s="26">
        <v>0</v>
      </c>
      <c r="AP51" s="26">
        <v>0</v>
      </c>
      <c r="AQ51" s="26">
        <v>67.223025354220411</v>
      </c>
      <c r="AR51" s="26">
        <v>5.1592224111681997</v>
      </c>
      <c r="AS51" s="30">
        <v>13.029681606418503</v>
      </c>
      <c r="AT51" s="26">
        <v>59.361372871090822</v>
      </c>
      <c r="AU51" s="26">
        <v>9.3058549473627643</v>
      </c>
      <c r="AV51" s="26">
        <v>0</v>
      </c>
      <c r="AW51" s="26">
        <v>0</v>
      </c>
      <c r="AX51" s="26">
        <v>68.667227818453583</v>
      </c>
      <c r="AY51" s="26">
        <v>11.922178278910664</v>
      </c>
      <c r="AZ51" s="30">
        <v>5.7596209528186781</v>
      </c>
      <c r="BA51" s="26">
        <v>59.361372871090822</v>
      </c>
      <c r="BB51" s="26">
        <v>17.167507430492353</v>
      </c>
      <c r="BC51" s="26">
        <v>0</v>
      </c>
      <c r="BD51" s="26">
        <v>0</v>
      </c>
      <c r="BE51" s="26">
        <v>76.528880301583172</v>
      </c>
      <c r="BF51" s="26">
        <v>17.081400690078866</v>
      </c>
      <c r="BG51" s="26">
        <v>-5.5110032142420974E-2</v>
      </c>
      <c r="BH51" s="30">
        <v>4.4802461864870544</v>
      </c>
      <c r="BI51" s="26">
        <v>3.3020052964965427</v>
      </c>
      <c r="BJ51" s="26">
        <v>7.6304320080330044</v>
      </c>
      <c r="BK51" s="26">
        <v>0</v>
      </c>
      <c r="BL51" s="26">
        <v>17.288362368517955</v>
      </c>
      <c r="BM51" s="26">
        <v>28.220799673047502</v>
      </c>
      <c r="BN51" s="26">
        <v>59.361372871090822</v>
      </c>
      <c r="BO51" s="26">
        <v>1.9639354485563929</v>
      </c>
      <c r="BP51" s="26">
        <v>17.167507430492353</v>
      </c>
      <c r="BQ51" s="26">
        <v>0</v>
      </c>
      <c r="BR51" s="26">
        <v>0</v>
      </c>
      <c r="BS51" s="26">
        <v>0</v>
      </c>
      <c r="BT51" s="26">
        <v>0</v>
      </c>
      <c r="BU51" s="26">
        <v>0</v>
      </c>
      <c r="BV51" s="26">
        <v>201.96457462928814</v>
      </c>
      <c r="BW51" s="26">
        <v>0</v>
      </c>
      <c r="BX51" s="26">
        <v>44.093624649468318</v>
      </c>
      <c r="BY51" s="26"/>
      <c r="BZ51" s="26">
        <v>0</v>
      </c>
      <c r="CA51" s="26">
        <v>0</v>
      </c>
      <c r="CB51" s="26">
        <v>280.45739037942769</v>
      </c>
      <c r="CC51" s="26">
        <v>44.093624649468318</v>
      </c>
      <c r="CD51" s="30">
        <v>6.3604975233717704</v>
      </c>
      <c r="CE51" s="26">
        <v>-113.28506354898667</v>
      </c>
      <c r="CF51" s="26">
        <v>1.0922052852657953</v>
      </c>
      <c r="CG51" s="26">
        <v>3.1545713969354433E-2</v>
      </c>
      <c r="CH51" s="26">
        <v>1.1237509992351498</v>
      </c>
      <c r="CI51" s="26">
        <v>5.4609752589383893E-2</v>
      </c>
      <c r="CJ51" s="26">
        <v>1.5772856984677204E-3</v>
      </c>
      <c r="CK51" s="26">
        <v>5.6187038287851612E-2</v>
      </c>
      <c r="CL51" s="26"/>
      <c r="CM51" s="26">
        <v>0.26695196724510795</v>
      </c>
      <c r="CN51" s="26" t="s">
        <v>363</v>
      </c>
      <c r="CO51" s="26">
        <v>0</v>
      </c>
      <c r="CP51" s="26">
        <v>0</v>
      </c>
      <c r="CQ51" s="26">
        <v>1.9639354485563929</v>
      </c>
      <c r="CR51" s="26">
        <v>0</v>
      </c>
      <c r="CS51" s="26">
        <v>0</v>
      </c>
      <c r="CT51" s="26">
        <v>1.9639354485563929</v>
      </c>
      <c r="CU51" s="26">
        <v>0</v>
      </c>
      <c r="CV51" s="26">
        <v>0</v>
      </c>
      <c r="CW51" s="30">
        <v>9999</v>
      </c>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t="s">
        <v>621</v>
      </c>
      <c r="B52" s="7" t="s">
        <v>621</v>
      </c>
      <c r="C52" s="26">
        <v>10</v>
      </c>
      <c r="D52" s="26">
        <v>63.784821598704866</v>
      </c>
      <c r="E52" s="26">
        <v>0.15919903383713296</v>
      </c>
      <c r="F52" s="26">
        <v>0</v>
      </c>
      <c r="G52" s="26">
        <v>0</v>
      </c>
      <c r="H52" s="26">
        <v>0</v>
      </c>
      <c r="I52" s="26" t="s">
        <v>363</v>
      </c>
      <c r="J52" s="26"/>
      <c r="K52" s="26"/>
      <c r="L52" s="26">
        <v>68.562066880880366</v>
      </c>
      <c r="M52" s="26">
        <v>1.3268380300690299E-2</v>
      </c>
      <c r="N52" s="26">
        <v>1.3172615081799854E-2</v>
      </c>
      <c r="O52" s="26">
        <v>0.16079102417550428</v>
      </c>
      <c r="P52" s="26">
        <v>0</v>
      </c>
      <c r="Q52" s="26">
        <v>0</v>
      </c>
      <c r="R52" s="26">
        <v>0</v>
      </c>
      <c r="S52" s="26">
        <v>0</v>
      </c>
      <c r="T52" s="26">
        <v>0</v>
      </c>
      <c r="U52" s="26">
        <v>0</v>
      </c>
      <c r="V52" s="26" t="s">
        <v>531</v>
      </c>
      <c r="W52" s="26" t="s">
        <v>531</v>
      </c>
      <c r="X52" s="26" t="s">
        <v>531</v>
      </c>
      <c r="Y52" s="26" t="s">
        <v>531</v>
      </c>
      <c r="Z52" s="26">
        <v>0</v>
      </c>
      <c r="AA52" s="26">
        <v>0</v>
      </c>
      <c r="AB52" s="26">
        <v>0</v>
      </c>
      <c r="AC52" s="26">
        <v>0</v>
      </c>
      <c r="AD52" s="26">
        <v>0</v>
      </c>
      <c r="AE52" s="26">
        <v>0</v>
      </c>
      <c r="AF52" s="26">
        <v>0</v>
      </c>
      <c r="AG52" s="26">
        <v>0</v>
      </c>
      <c r="AH52" s="26">
        <v>0</v>
      </c>
      <c r="AI52" s="26">
        <v>0</v>
      </c>
      <c r="AJ52" s="26">
        <v>0</v>
      </c>
      <c r="AK52" s="26">
        <v>0</v>
      </c>
      <c r="AL52" s="26">
        <v>0</v>
      </c>
      <c r="AM52" s="26">
        <v>35.400650183808104</v>
      </c>
      <c r="AN52" s="26">
        <v>4.6883620772435615</v>
      </c>
      <c r="AO52" s="26">
        <v>0</v>
      </c>
      <c r="AP52" s="26">
        <v>0</v>
      </c>
      <c r="AQ52" s="26">
        <v>40.089012261051664</v>
      </c>
      <c r="AR52" s="26">
        <v>0</v>
      </c>
      <c r="AS52" s="30">
        <v>9999</v>
      </c>
      <c r="AT52" s="26">
        <v>35.400650183808104</v>
      </c>
      <c r="AU52" s="26">
        <v>5.5496242711273993</v>
      </c>
      <c r="AV52" s="26">
        <v>0</v>
      </c>
      <c r="AW52" s="26">
        <v>0</v>
      </c>
      <c r="AX52" s="26">
        <v>40.950274454935503</v>
      </c>
      <c r="AY52" s="26">
        <v>0</v>
      </c>
      <c r="AZ52" s="30">
        <v>9999</v>
      </c>
      <c r="BA52" s="26">
        <v>35.400650183808104</v>
      </c>
      <c r="BB52" s="26">
        <v>10.23798634837096</v>
      </c>
      <c r="BC52" s="26">
        <v>0</v>
      </c>
      <c r="BD52" s="26">
        <v>0</v>
      </c>
      <c r="BE52" s="26">
        <v>45.638636532179063</v>
      </c>
      <c r="BF52" s="26">
        <v>0</v>
      </c>
      <c r="BG52" s="26">
        <v>-10.98754733667197</v>
      </c>
      <c r="BH52" s="30">
        <v>9999</v>
      </c>
      <c r="BI52" s="26">
        <v>0</v>
      </c>
      <c r="BJ52" s="26">
        <v>0</v>
      </c>
      <c r="BK52" s="26">
        <v>0</v>
      </c>
      <c r="BL52" s="26">
        <v>0</v>
      </c>
      <c r="BM52" s="26">
        <v>0</v>
      </c>
      <c r="BN52" s="26">
        <v>35.400650183808104</v>
      </c>
      <c r="BO52" s="26">
        <v>1.1712092971452104</v>
      </c>
      <c r="BP52" s="26">
        <v>10.23798634837096</v>
      </c>
      <c r="BQ52" s="26">
        <v>0</v>
      </c>
      <c r="BR52" s="26">
        <v>0</v>
      </c>
      <c r="BS52" s="26">
        <v>0</v>
      </c>
      <c r="BT52" s="26">
        <v>0</v>
      </c>
      <c r="BU52" s="26">
        <v>0</v>
      </c>
      <c r="BV52" s="26">
        <v>113.60507322897436</v>
      </c>
      <c r="BW52" s="26">
        <v>0</v>
      </c>
      <c r="BX52" s="26">
        <v>0</v>
      </c>
      <c r="BY52" s="26"/>
      <c r="BZ52" s="26">
        <v>0</v>
      </c>
      <c r="CA52" s="26">
        <v>0</v>
      </c>
      <c r="CB52" s="26">
        <v>160.41491905829861</v>
      </c>
      <c r="CC52" s="26">
        <v>0</v>
      </c>
      <c r="CD52" s="30">
        <v>9999</v>
      </c>
      <c r="CE52" s="26">
        <v>-134.16702760464855</v>
      </c>
      <c r="CF52" s="26">
        <v>0.65134573818845609</v>
      </c>
      <c r="CG52" s="26">
        <v>1.8812549828534014E-2</v>
      </c>
      <c r="CH52" s="26">
        <v>0.67015828801699007</v>
      </c>
      <c r="CI52" s="26">
        <v>3.2566981768418164E-2</v>
      </c>
      <c r="CJ52" s="26">
        <v>9.4062749142669998E-4</v>
      </c>
      <c r="CK52" s="26">
        <v>3.3507609259844862E-2</v>
      </c>
      <c r="CL52" s="26"/>
      <c r="CM52" s="26">
        <v>0.15919903383713296</v>
      </c>
      <c r="CN52" s="26" t="s">
        <v>363</v>
      </c>
      <c r="CO52" s="26">
        <v>0</v>
      </c>
      <c r="CP52" s="26">
        <v>0</v>
      </c>
      <c r="CQ52" s="26">
        <v>1.1712092971452104</v>
      </c>
      <c r="CR52" s="26">
        <v>0</v>
      </c>
      <c r="CS52" s="26">
        <v>0</v>
      </c>
      <c r="CT52" s="26">
        <v>1.1712092971452104</v>
      </c>
      <c r="CU52" s="26">
        <v>0</v>
      </c>
      <c r="CV52" s="26">
        <v>0</v>
      </c>
      <c r="CW52" s="30">
        <v>9999</v>
      </c>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t="s">
        <v>624</v>
      </c>
      <c r="B53" s="7" t="s">
        <v>624</v>
      </c>
      <c r="C53" s="26">
        <v>10</v>
      </c>
      <c r="D53" s="26">
        <v>66.392225358228018</v>
      </c>
      <c r="E53" s="26">
        <v>0.16570679146560008</v>
      </c>
      <c r="F53" s="26">
        <v>0</v>
      </c>
      <c r="G53" s="26">
        <v>0</v>
      </c>
      <c r="H53" s="26">
        <v>0</v>
      </c>
      <c r="I53" s="26" t="s">
        <v>363</v>
      </c>
      <c r="J53" s="26"/>
      <c r="K53" s="26"/>
      <c r="L53" s="26">
        <v>71.364755458902735</v>
      </c>
      <c r="M53" s="26">
        <v>1.3810766777781352E-2</v>
      </c>
      <c r="N53" s="26">
        <v>1.3711086856528994E-2</v>
      </c>
      <c r="O53" s="26">
        <v>0.16736385938025608</v>
      </c>
      <c r="P53" s="26">
        <v>0</v>
      </c>
      <c r="Q53" s="26">
        <v>0</v>
      </c>
      <c r="R53" s="26">
        <v>0</v>
      </c>
      <c r="S53" s="26">
        <v>0</v>
      </c>
      <c r="T53" s="26">
        <v>0</v>
      </c>
      <c r="U53" s="26">
        <v>0</v>
      </c>
      <c r="V53" s="26" t="s">
        <v>531</v>
      </c>
      <c r="W53" s="26" t="s">
        <v>531</v>
      </c>
      <c r="X53" s="26" t="s">
        <v>531</v>
      </c>
      <c r="Y53" s="26" t="s">
        <v>531</v>
      </c>
      <c r="Z53" s="26">
        <v>0</v>
      </c>
      <c r="AA53" s="26">
        <v>0</v>
      </c>
      <c r="AB53" s="26">
        <v>0</v>
      </c>
      <c r="AC53" s="26">
        <v>0</v>
      </c>
      <c r="AD53" s="26">
        <v>0</v>
      </c>
      <c r="AE53" s="26">
        <v>0</v>
      </c>
      <c r="AF53" s="26">
        <v>0</v>
      </c>
      <c r="AG53" s="26">
        <v>0</v>
      </c>
      <c r="AH53" s="26">
        <v>0</v>
      </c>
      <c r="AI53" s="26">
        <v>0</v>
      </c>
      <c r="AJ53" s="26">
        <v>0</v>
      </c>
      <c r="AK53" s="26">
        <v>0</v>
      </c>
      <c r="AL53" s="26">
        <v>0</v>
      </c>
      <c r="AM53" s="26">
        <v>36.84776230335823</v>
      </c>
      <c r="AN53" s="26">
        <v>4.8800135171914452</v>
      </c>
      <c r="AO53" s="26">
        <v>0</v>
      </c>
      <c r="AP53" s="26">
        <v>0</v>
      </c>
      <c r="AQ53" s="26">
        <v>41.727775820549674</v>
      </c>
      <c r="AR53" s="26">
        <v>0</v>
      </c>
      <c r="AS53" s="30">
        <v>9999</v>
      </c>
      <c r="AT53" s="26">
        <v>36.84776230335823</v>
      </c>
      <c r="AU53" s="26">
        <v>5.7764824926572116</v>
      </c>
      <c r="AV53" s="26">
        <v>0</v>
      </c>
      <c r="AW53" s="26">
        <v>0</v>
      </c>
      <c r="AX53" s="26">
        <v>42.624244796015439</v>
      </c>
      <c r="AY53" s="26">
        <v>0</v>
      </c>
      <c r="AZ53" s="30">
        <v>9999</v>
      </c>
      <c r="BA53" s="26">
        <v>36.84776230335823</v>
      </c>
      <c r="BB53" s="26">
        <v>10.656496009848656</v>
      </c>
      <c r="BC53" s="26">
        <v>0</v>
      </c>
      <c r="BD53" s="26">
        <v>0</v>
      </c>
      <c r="BE53" s="26">
        <v>47.504258313206883</v>
      </c>
      <c r="BF53" s="26">
        <v>0</v>
      </c>
      <c r="BG53" s="26">
        <v>-10.987547336671966</v>
      </c>
      <c r="BH53" s="30">
        <v>9999</v>
      </c>
      <c r="BI53" s="26">
        <v>0</v>
      </c>
      <c r="BJ53" s="26">
        <v>0</v>
      </c>
      <c r="BK53" s="26">
        <v>0</v>
      </c>
      <c r="BL53" s="26">
        <v>0</v>
      </c>
      <c r="BM53" s="26">
        <v>0</v>
      </c>
      <c r="BN53" s="26">
        <v>36.84776230335823</v>
      </c>
      <c r="BO53" s="26">
        <v>1.2190861344244219</v>
      </c>
      <c r="BP53" s="26">
        <v>10.656496009848656</v>
      </c>
      <c r="BQ53" s="26">
        <v>0</v>
      </c>
      <c r="BR53" s="26">
        <v>0</v>
      </c>
      <c r="BS53" s="26">
        <v>0</v>
      </c>
      <c r="BT53" s="26">
        <v>0</v>
      </c>
      <c r="BU53" s="26">
        <v>0</v>
      </c>
      <c r="BV53" s="26">
        <v>113.60507322897449</v>
      </c>
      <c r="BW53" s="26">
        <v>0</v>
      </c>
      <c r="BX53" s="26">
        <v>0</v>
      </c>
      <c r="BY53" s="26"/>
      <c r="BZ53" s="26">
        <v>0</v>
      </c>
      <c r="CA53" s="26">
        <v>0</v>
      </c>
      <c r="CB53" s="26">
        <v>162.3284176766058</v>
      </c>
      <c r="CC53" s="26">
        <v>0</v>
      </c>
      <c r="CD53" s="30">
        <v>9999</v>
      </c>
      <c r="CE53" s="26">
        <v>-129.37879763441686</v>
      </c>
      <c r="CF53" s="26">
        <v>0.67797152915149617</v>
      </c>
      <c r="CG53" s="26">
        <v>1.9581571547489952E-2</v>
      </c>
      <c r="CH53" s="26">
        <v>0.69755310069898613</v>
      </c>
      <c r="CI53" s="26">
        <v>3.3898258842978798E-2</v>
      </c>
      <c r="CJ53" s="26">
        <v>9.7907857737449802E-4</v>
      </c>
      <c r="CK53" s="26">
        <v>3.4877337420353295E-2</v>
      </c>
      <c r="CL53" s="26"/>
      <c r="CM53" s="26">
        <v>0.16570679146560008</v>
      </c>
      <c r="CN53" s="26" t="s">
        <v>363</v>
      </c>
      <c r="CO53" s="26">
        <v>0</v>
      </c>
      <c r="CP53" s="26">
        <v>0</v>
      </c>
      <c r="CQ53" s="26">
        <v>1.2190861344244219</v>
      </c>
      <c r="CR53" s="26">
        <v>0</v>
      </c>
      <c r="CS53" s="26">
        <v>0</v>
      </c>
      <c r="CT53" s="26">
        <v>1.2190861344244219</v>
      </c>
      <c r="CU53" s="26">
        <v>0</v>
      </c>
      <c r="CV53" s="26">
        <v>0</v>
      </c>
      <c r="CW53" s="30">
        <v>9999</v>
      </c>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t="s">
        <v>619</v>
      </c>
      <c r="B54" s="7" t="s">
        <v>619</v>
      </c>
      <c r="C54" s="26">
        <v>10</v>
      </c>
      <c r="D54" s="26">
        <v>131.26057966973667</v>
      </c>
      <c r="E54" s="26">
        <v>0.73089119098033972</v>
      </c>
      <c r="F54" s="26">
        <v>25.872</v>
      </c>
      <c r="G54" s="26">
        <v>0</v>
      </c>
      <c r="H54" s="26">
        <v>0</v>
      </c>
      <c r="I54" s="26" t="s">
        <v>603</v>
      </c>
      <c r="J54" s="26"/>
      <c r="K54" s="26"/>
      <c r="L54" s="26">
        <v>141.19769879304073</v>
      </c>
      <c r="M54" s="26">
        <v>2.9786774179740256E-2</v>
      </c>
      <c r="N54" s="26">
        <v>2.9571786601398486E-2</v>
      </c>
      <c r="O54" s="26">
        <v>0.73820010289014315</v>
      </c>
      <c r="P54" s="26">
        <v>0</v>
      </c>
      <c r="Q54" s="26">
        <v>0</v>
      </c>
      <c r="R54" s="26">
        <v>5.1592224111681997</v>
      </c>
      <c r="S54" s="26">
        <v>11.922178278910664</v>
      </c>
      <c r="T54" s="26">
        <v>0</v>
      </c>
      <c r="U54" s="26">
        <v>27.012223959389452</v>
      </c>
      <c r="V54" s="26" t="s">
        <v>531</v>
      </c>
      <c r="W54" s="26" t="s">
        <v>531</v>
      </c>
      <c r="X54" s="26" t="s">
        <v>531</v>
      </c>
      <c r="Y54" s="26" t="s">
        <v>531</v>
      </c>
      <c r="Z54" s="26">
        <v>0</v>
      </c>
      <c r="AA54" s="26">
        <v>0</v>
      </c>
      <c r="AB54" s="26">
        <v>0</v>
      </c>
      <c r="AC54" s="26">
        <v>0</v>
      </c>
      <c r="AD54" s="26">
        <v>0</v>
      </c>
      <c r="AE54" s="26">
        <v>0</v>
      </c>
      <c r="AF54" s="26">
        <v>0</v>
      </c>
      <c r="AG54" s="26">
        <v>0</v>
      </c>
      <c r="AH54" s="26">
        <v>5.1592224111681997</v>
      </c>
      <c r="AI54" s="26">
        <v>11.922178278910664</v>
      </c>
      <c r="AJ54" s="26">
        <v>0</v>
      </c>
      <c r="AK54" s="26">
        <v>27.012223959389452</v>
      </c>
      <c r="AL54" s="26">
        <v>44.093624649468318</v>
      </c>
      <c r="AM54" s="26">
        <v>73.172405706382108</v>
      </c>
      <c r="AN54" s="26">
        <v>10.525111528529706</v>
      </c>
      <c r="AO54" s="26">
        <v>0</v>
      </c>
      <c r="AP54" s="26">
        <v>0</v>
      </c>
      <c r="AQ54" s="26">
        <v>83.697517234911814</v>
      </c>
      <c r="AR54" s="26">
        <v>5.1592224111681997</v>
      </c>
      <c r="AS54" s="30">
        <v>16.222893793787858</v>
      </c>
      <c r="AT54" s="26">
        <v>73.172405706382108</v>
      </c>
      <c r="AU54" s="26">
        <v>12.458597146019194</v>
      </c>
      <c r="AV54" s="26">
        <v>0</v>
      </c>
      <c r="AW54" s="26">
        <v>0</v>
      </c>
      <c r="AX54" s="26">
        <v>85.631002852401309</v>
      </c>
      <c r="AY54" s="26">
        <v>11.922178278910664</v>
      </c>
      <c r="AZ54" s="30">
        <v>7.1824964238184048</v>
      </c>
      <c r="BA54" s="26">
        <v>73.172405706382108</v>
      </c>
      <c r="BB54" s="26">
        <v>22.9837086745489</v>
      </c>
      <c r="BC54" s="26">
        <v>0</v>
      </c>
      <c r="BD54" s="26">
        <v>0</v>
      </c>
      <c r="BE54" s="26">
        <v>96.156114380931015</v>
      </c>
      <c r="BF54" s="26">
        <v>17.081400690078866</v>
      </c>
      <c r="BG54" s="26">
        <v>-3.075844409564505</v>
      </c>
      <c r="BH54" s="30">
        <v>5.6292874410925755</v>
      </c>
      <c r="BI54" s="26">
        <v>2.6886034162984229</v>
      </c>
      <c r="BJ54" s="26">
        <v>6.212953560794463</v>
      </c>
      <c r="BK54" s="26">
        <v>0</v>
      </c>
      <c r="BL54" s="26">
        <v>14.076764254593963</v>
      </c>
      <c r="BM54" s="26">
        <v>22.978321231686849</v>
      </c>
      <c r="BN54" s="26">
        <v>73.172405706382108</v>
      </c>
      <c r="BO54" s="26">
        <v>5.3770838769879603</v>
      </c>
      <c r="BP54" s="26">
        <v>22.9837086745489</v>
      </c>
      <c r="BQ54" s="26">
        <v>0</v>
      </c>
      <c r="BR54" s="26">
        <v>0</v>
      </c>
      <c r="BS54" s="26">
        <v>0</v>
      </c>
      <c r="BT54" s="26">
        <v>0</v>
      </c>
      <c r="BU54" s="26">
        <v>0</v>
      </c>
      <c r="BV54" s="26">
        <v>264.02660537474628</v>
      </c>
      <c r="BW54" s="26">
        <v>0</v>
      </c>
      <c r="BX54" s="26">
        <v>44.093624649468318</v>
      </c>
      <c r="BY54" s="26"/>
      <c r="BZ54" s="26">
        <v>0</v>
      </c>
      <c r="CA54" s="26">
        <v>0</v>
      </c>
      <c r="CB54" s="26">
        <v>365.55980363266525</v>
      </c>
      <c r="CC54" s="26">
        <v>44.093624649468318</v>
      </c>
      <c r="CD54" s="30">
        <v>8.2905364786578772</v>
      </c>
      <c r="CE54" s="26">
        <v>-129.39226764727019</v>
      </c>
      <c r="CF54" s="26">
        <v>1.3413880205213553</v>
      </c>
      <c r="CG54" s="26">
        <v>8.6369412038146839E-2</v>
      </c>
      <c r="CH54" s="26">
        <v>1.4277574325595022</v>
      </c>
      <c r="CI54" s="26">
        <v>6.7068906926694358E-2</v>
      </c>
      <c r="CJ54" s="26">
        <v>4.3184706019073369E-3</v>
      </c>
      <c r="CK54" s="26">
        <v>7.1387377528601692E-2</v>
      </c>
      <c r="CL54" s="26"/>
      <c r="CM54" s="26">
        <v>0.73089119098033972</v>
      </c>
      <c r="CN54" s="26" t="s">
        <v>363</v>
      </c>
      <c r="CO54" s="26">
        <v>0</v>
      </c>
      <c r="CP54" s="26">
        <v>0</v>
      </c>
      <c r="CQ54" s="26">
        <v>5.3770838769879603</v>
      </c>
      <c r="CR54" s="26">
        <v>0</v>
      </c>
      <c r="CS54" s="26">
        <v>0</v>
      </c>
      <c r="CT54" s="26">
        <v>5.3770838769879603</v>
      </c>
      <c r="CU54" s="26">
        <v>0</v>
      </c>
      <c r="CV54" s="26">
        <v>0</v>
      </c>
      <c r="CW54" s="30">
        <v>9999</v>
      </c>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t="s">
        <v>622</v>
      </c>
      <c r="B55" s="7" t="s">
        <v>622</v>
      </c>
      <c r="C55" s="26">
        <v>10</v>
      </c>
      <c r="D55" s="26">
        <v>78.278342279970616</v>
      </c>
      <c r="E55" s="26">
        <v>0.43587306227755018</v>
      </c>
      <c r="F55" s="26">
        <v>0</v>
      </c>
      <c r="G55" s="26">
        <v>0</v>
      </c>
      <c r="H55" s="26">
        <v>0</v>
      </c>
      <c r="I55" s="26" t="s">
        <v>363</v>
      </c>
      <c r="J55" s="26"/>
      <c r="K55" s="26"/>
      <c r="L55" s="26">
        <v>84.141098214387171</v>
      </c>
      <c r="M55" s="26">
        <v>1.628329105022289E-2</v>
      </c>
      <c r="N55" s="26">
        <v>1.6165765557559681E-2</v>
      </c>
      <c r="O55" s="26">
        <v>0.44023179290032571</v>
      </c>
      <c r="P55" s="26">
        <v>0</v>
      </c>
      <c r="Q55" s="26">
        <v>0</v>
      </c>
      <c r="R55" s="26">
        <v>0</v>
      </c>
      <c r="S55" s="26">
        <v>0</v>
      </c>
      <c r="T55" s="26">
        <v>0</v>
      </c>
      <c r="U55" s="26">
        <v>0</v>
      </c>
      <c r="V55" s="26" t="s">
        <v>531</v>
      </c>
      <c r="W55" s="26" t="s">
        <v>531</v>
      </c>
      <c r="X55" s="26" t="s">
        <v>531</v>
      </c>
      <c r="Y55" s="26" t="s">
        <v>531</v>
      </c>
      <c r="Z55" s="26">
        <v>0</v>
      </c>
      <c r="AA55" s="26">
        <v>0</v>
      </c>
      <c r="AB55" s="26">
        <v>0</v>
      </c>
      <c r="AC55" s="26">
        <v>0</v>
      </c>
      <c r="AD55" s="26">
        <v>0</v>
      </c>
      <c r="AE55" s="26">
        <v>0</v>
      </c>
      <c r="AF55" s="26">
        <v>0</v>
      </c>
      <c r="AG55" s="26">
        <v>0</v>
      </c>
      <c r="AH55" s="26">
        <v>0</v>
      </c>
      <c r="AI55" s="26">
        <v>0</v>
      </c>
      <c r="AJ55" s="26">
        <v>0</v>
      </c>
      <c r="AK55" s="26">
        <v>0</v>
      </c>
      <c r="AL55" s="26">
        <v>0</v>
      </c>
      <c r="AM55" s="26">
        <v>43.444571021233472</v>
      </c>
      <c r="AN55" s="26">
        <v>5.753676222908136</v>
      </c>
      <c r="AO55" s="26">
        <v>0</v>
      </c>
      <c r="AP55" s="26">
        <v>0</v>
      </c>
      <c r="AQ55" s="26">
        <v>49.198247244141605</v>
      </c>
      <c r="AR55" s="26">
        <v>0</v>
      </c>
      <c r="AS55" s="30">
        <v>9999</v>
      </c>
      <c r="AT55" s="26">
        <v>43.444571021233472</v>
      </c>
      <c r="AU55" s="26">
        <v>6.8106389158477105</v>
      </c>
      <c r="AV55" s="26">
        <v>0</v>
      </c>
      <c r="AW55" s="26">
        <v>0</v>
      </c>
      <c r="AX55" s="26">
        <v>50.255209937081183</v>
      </c>
      <c r="AY55" s="26">
        <v>0</v>
      </c>
      <c r="AZ55" s="30">
        <v>9999</v>
      </c>
      <c r="BA55" s="26">
        <v>43.444571021233472</v>
      </c>
      <c r="BB55" s="26">
        <v>12.564315138755846</v>
      </c>
      <c r="BC55" s="26">
        <v>0</v>
      </c>
      <c r="BD55" s="26">
        <v>0</v>
      </c>
      <c r="BE55" s="26">
        <v>56.008886159989316</v>
      </c>
      <c r="BF55" s="26">
        <v>0</v>
      </c>
      <c r="BG55" s="26">
        <v>-10.987547336671966</v>
      </c>
      <c r="BH55" s="30">
        <v>9999</v>
      </c>
      <c r="BI55" s="26">
        <v>0</v>
      </c>
      <c r="BJ55" s="26">
        <v>0</v>
      </c>
      <c r="BK55" s="26">
        <v>0</v>
      </c>
      <c r="BL55" s="26">
        <v>0</v>
      </c>
      <c r="BM55" s="26">
        <v>0</v>
      </c>
      <c r="BN55" s="26">
        <v>43.444571021233472</v>
      </c>
      <c r="BO55" s="26">
        <v>3.206668850998684</v>
      </c>
      <c r="BP55" s="26">
        <v>12.564315138755846</v>
      </c>
      <c r="BQ55" s="26">
        <v>0</v>
      </c>
      <c r="BR55" s="26">
        <v>0</v>
      </c>
      <c r="BS55" s="26">
        <v>0</v>
      </c>
      <c r="BT55" s="26">
        <v>0</v>
      </c>
      <c r="BU55" s="26">
        <v>0</v>
      </c>
      <c r="BV55" s="26">
        <v>148.51496552329482</v>
      </c>
      <c r="BW55" s="26">
        <v>0</v>
      </c>
      <c r="BX55" s="26">
        <v>0</v>
      </c>
      <c r="BY55" s="26"/>
      <c r="BZ55" s="26">
        <v>0</v>
      </c>
      <c r="CA55" s="26">
        <v>0</v>
      </c>
      <c r="CB55" s="26">
        <v>207.73052053428282</v>
      </c>
      <c r="CC55" s="26">
        <v>0</v>
      </c>
      <c r="CD55" s="30">
        <v>9999</v>
      </c>
      <c r="CE55" s="26">
        <v>-143.66876563424663</v>
      </c>
      <c r="CF55" s="26">
        <v>0.79934792257146225</v>
      </c>
      <c r="CG55" s="26">
        <v>5.1507119769338069E-2</v>
      </c>
      <c r="CH55" s="26">
        <v>0.85085504234080034</v>
      </c>
      <c r="CI55" s="26">
        <v>3.9967021651833898E-2</v>
      </c>
      <c r="CJ55" s="26">
        <v>2.5753559884669056E-3</v>
      </c>
      <c r="CK55" s="26">
        <v>4.2542377640300805E-2</v>
      </c>
      <c r="CL55" s="26"/>
      <c r="CM55" s="26">
        <v>0.43587306227755018</v>
      </c>
      <c r="CN55" s="26" t="s">
        <v>363</v>
      </c>
      <c r="CO55" s="26">
        <v>0</v>
      </c>
      <c r="CP55" s="26">
        <v>0</v>
      </c>
      <c r="CQ55" s="26">
        <v>3.206668850998684</v>
      </c>
      <c r="CR55" s="26">
        <v>0</v>
      </c>
      <c r="CS55" s="26">
        <v>0</v>
      </c>
      <c r="CT55" s="26">
        <v>3.206668850998684</v>
      </c>
      <c r="CU55" s="26">
        <v>0</v>
      </c>
      <c r="CV55" s="26">
        <v>0</v>
      </c>
      <c r="CW55" s="30">
        <v>9999</v>
      </c>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t="s">
        <v>625</v>
      </c>
      <c r="B56" s="7" t="s">
        <v>625</v>
      </c>
      <c r="C56" s="26">
        <v>10</v>
      </c>
      <c r="D56" s="26">
        <v>81.478213955306387</v>
      </c>
      <c r="E56" s="26">
        <v>0.45369073477034982</v>
      </c>
      <c r="F56" s="26">
        <v>0</v>
      </c>
      <c r="G56" s="26">
        <v>0</v>
      </c>
      <c r="H56" s="26">
        <v>0</v>
      </c>
      <c r="I56" s="26" t="s">
        <v>363</v>
      </c>
      <c r="J56" s="26"/>
      <c r="K56" s="26"/>
      <c r="L56" s="26">
        <v>87.580628345785399</v>
      </c>
      <c r="M56" s="26">
        <v>1.6948921418665028E-2</v>
      </c>
      <c r="N56" s="26">
        <v>1.6826591704500071E-2</v>
      </c>
      <c r="O56" s="26">
        <v>0.45822764211805334</v>
      </c>
      <c r="P56" s="26">
        <v>0</v>
      </c>
      <c r="Q56" s="26">
        <v>0</v>
      </c>
      <c r="R56" s="26">
        <v>0</v>
      </c>
      <c r="S56" s="26">
        <v>0</v>
      </c>
      <c r="T56" s="26">
        <v>0</v>
      </c>
      <c r="U56" s="26">
        <v>0</v>
      </c>
      <c r="V56" s="26" t="s">
        <v>531</v>
      </c>
      <c r="W56" s="26" t="s">
        <v>531</v>
      </c>
      <c r="X56" s="26" t="s">
        <v>531</v>
      </c>
      <c r="Y56" s="26" t="s">
        <v>531</v>
      </c>
      <c r="Z56" s="26">
        <v>0</v>
      </c>
      <c r="AA56" s="26">
        <v>0</v>
      </c>
      <c r="AB56" s="26">
        <v>0</v>
      </c>
      <c r="AC56" s="26">
        <v>0</v>
      </c>
      <c r="AD56" s="26">
        <v>0</v>
      </c>
      <c r="AE56" s="26">
        <v>0</v>
      </c>
      <c r="AF56" s="26">
        <v>0</v>
      </c>
      <c r="AG56" s="26">
        <v>0</v>
      </c>
      <c r="AH56" s="26">
        <v>0</v>
      </c>
      <c r="AI56" s="26">
        <v>0</v>
      </c>
      <c r="AJ56" s="26">
        <v>0</v>
      </c>
      <c r="AK56" s="26">
        <v>0</v>
      </c>
      <c r="AL56" s="26">
        <v>0</v>
      </c>
      <c r="AM56" s="26">
        <v>45.220503523236978</v>
      </c>
      <c r="AN56" s="26">
        <v>5.988875705146631</v>
      </c>
      <c r="AO56" s="26">
        <v>0</v>
      </c>
      <c r="AP56" s="26">
        <v>0</v>
      </c>
      <c r="AQ56" s="26">
        <v>51.209379228383611</v>
      </c>
      <c r="AR56" s="26">
        <v>0</v>
      </c>
      <c r="AS56" s="30">
        <v>9999</v>
      </c>
      <c r="AT56" s="26">
        <v>45.220503523236978</v>
      </c>
      <c r="AU56" s="26">
        <v>7.089045048668142</v>
      </c>
      <c r="AV56" s="26">
        <v>0</v>
      </c>
      <c r="AW56" s="26">
        <v>0</v>
      </c>
      <c r="AX56" s="26">
        <v>52.309548571905118</v>
      </c>
      <c r="AY56" s="26">
        <v>0</v>
      </c>
      <c r="AZ56" s="30">
        <v>9999</v>
      </c>
      <c r="BA56" s="26">
        <v>45.220503523236978</v>
      </c>
      <c r="BB56" s="26">
        <v>13.077920753814773</v>
      </c>
      <c r="BC56" s="26">
        <v>0</v>
      </c>
      <c r="BD56" s="26">
        <v>0</v>
      </c>
      <c r="BE56" s="26">
        <v>58.298424277051751</v>
      </c>
      <c r="BF56" s="26">
        <v>0</v>
      </c>
      <c r="BG56" s="26">
        <v>-10.987547336671971</v>
      </c>
      <c r="BH56" s="30">
        <v>9999</v>
      </c>
      <c r="BI56" s="26">
        <v>0</v>
      </c>
      <c r="BJ56" s="26">
        <v>0</v>
      </c>
      <c r="BK56" s="26">
        <v>0</v>
      </c>
      <c r="BL56" s="26">
        <v>0</v>
      </c>
      <c r="BM56" s="26">
        <v>0</v>
      </c>
      <c r="BN56" s="26">
        <v>45.220503523236978</v>
      </c>
      <c r="BO56" s="26">
        <v>3.3377514535376176</v>
      </c>
      <c r="BP56" s="26">
        <v>13.077920753814773</v>
      </c>
      <c r="BQ56" s="26">
        <v>0</v>
      </c>
      <c r="BR56" s="26">
        <v>0</v>
      </c>
      <c r="BS56" s="26">
        <v>0</v>
      </c>
      <c r="BT56" s="26">
        <v>0</v>
      </c>
      <c r="BU56" s="26">
        <v>0</v>
      </c>
      <c r="BV56" s="26">
        <v>148.51496552329442</v>
      </c>
      <c r="BW56" s="26">
        <v>0</v>
      </c>
      <c r="BX56" s="26">
        <v>0</v>
      </c>
      <c r="BY56" s="26"/>
      <c r="BZ56" s="26">
        <v>0</v>
      </c>
      <c r="CA56" s="26">
        <v>0</v>
      </c>
      <c r="CB56" s="26">
        <v>210.15114125388376</v>
      </c>
      <c r="CC56" s="26">
        <v>0</v>
      </c>
      <c r="CD56" s="30">
        <v>9999</v>
      </c>
      <c r="CE56" s="26">
        <v>-138.56814270757619</v>
      </c>
      <c r="CF56" s="26">
        <v>0.83202376497786579</v>
      </c>
      <c r="CG56" s="26">
        <v>5.3612634127812177E-2</v>
      </c>
      <c r="CH56" s="26">
        <v>0.88563639910567793</v>
      </c>
      <c r="CI56" s="26">
        <v>4.1600798464248058E-2</v>
      </c>
      <c r="CJ56" s="26">
        <v>2.680631706390612E-3</v>
      </c>
      <c r="CK56" s="26">
        <v>4.4281430170638666E-2</v>
      </c>
      <c r="CL56" s="26"/>
      <c r="CM56" s="26">
        <v>0.45369073477034982</v>
      </c>
      <c r="CN56" s="26" t="s">
        <v>363</v>
      </c>
      <c r="CO56" s="26">
        <v>0</v>
      </c>
      <c r="CP56" s="26">
        <v>0</v>
      </c>
      <c r="CQ56" s="26">
        <v>3.3377514535376176</v>
      </c>
      <c r="CR56" s="26">
        <v>0</v>
      </c>
      <c r="CS56" s="26">
        <v>0</v>
      </c>
      <c r="CT56" s="26">
        <v>3.3377514535376176</v>
      </c>
      <c r="CU56" s="26">
        <v>0</v>
      </c>
      <c r="CV56" s="26">
        <v>0</v>
      </c>
      <c r="CW56" s="30">
        <v>9999</v>
      </c>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t="s">
        <v>615</v>
      </c>
      <c r="B57" s="7" t="s">
        <v>615</v>
      </c>
      <c r="C57" s="26">
        <v>10</v>
      </c>
      <c r="D57" s="26">
        <v>160.40314577441697</v>
      </c>
      <c r="E57" s="26">
        <v>0</v>
      </c>
      <c r="F57" s="26">
        <v>25.872</v>
      </c>
      <c r="G57" s="26">
        <v>0</v>
      </c>
      <c r="H57" s="26">
        <v>0</v>
      </c>
      <c r="I57" s="26" t="s">
        <v>363</v>
      </c>
      <c r="J57" s="26"/>
      <c r="K57" s="26"/>
      <c r="L57" s="26">
        <v>172.41674324464179</v>
      </c>
      <c r="M57" s="26">
        <v>3.3366714622985523E-2</v>
      </c>
      <c r="N57" s="26">
        <v>3.3125888639925709E-2</v>
      </c>
      <c r="O57" s="26">
        <v>0</v>
      </c>
      <c r="P57" s="26">
        <v>0</v>
      </c>
      <c r="Q57" s="26">
        <v>0</v>
      </c>
      <c r="R57" s="26">
        <v>5.1592224111681997</v>
      </c>
      <c r="S57" s="26">
        <v>11.922178278910664</v>
      </c>
      <c r="T57" s="26">
        <v>0</v>
      </c>
      <c r="U57" s="26">
        <v>27.012223959389452</v>
      </c>
      <c r="V57" s="26" t="s">
        <v>531</v>
      </c>
      <c r="W57" s="26" t="s">
        <v>531</v>
      </c>
      <c r="X57" s="26" t="s">
        <v>531</v>
      </c>
      <c r="Y57" s="26" t="s">
        <v>531</v>
      </c>
      <c r="Z57" s="26">
        <v>0</v>
      </c>
      <c r="AA57" s="26">
        <v>0</v>
      </c>
      <c r="AB57" s="26">
        <v>0</v>
      </c>
      <c r="AC57" s="26">
        <v>0</v>
      </c>
      <c r="AD57" s="26">
        <v>0</v>
      </c>
      <c r="AE57" s="26">
        <v>0</v>
      </c>
      <c r="AF57" s="26">
        <v>0</v>
      </c>
      <c r="AG57" s="26">
        <v>0</v>
      </c>
      <c r="AH57" s="26">
        <v>5.1592224111681997</v>
      </c>
      <c r="AI57" s="26">
        <v>11.922178278910664</v>
      </c>
      <c r="AJ57" s="26">
        <v>0</v>
      </c>
      <c r="AK57" s="26">
        <v>27.012223959389452</v>
      </c>
      <c r="AL57" s="26">
        <v>44.093624649468318</v>
      </c>
      <c r="AM57" s="26">
        <v>89.023932490826567</v>
      </c>
      <c r="AN57" s="26">
        <v>11.790078060430247</v>
      </c>
      <c r="AO57" s="26">
        <v>0</v>
      </c>
      <c r="AP57" s="26">
        <v>0</v>
      </c>
      <c r="AQ57" s="26">
        <v>100.81401055125681</v>
      </c>
      <c r="AR57" s="26">
        <v>5.1592224111681997</v>
      </c>
      <c r="AS57" s="30">
        <v>19.540543616228703</v>
      </c>
      <c r="AT57" s="26">
        <v>89.023932490826567</v>
      </c>
      <c r="AU57" s="26">
        <v>13.955940749593093</v>
      </c>
      <c r="AV57" s="26">
        <v>0</v>
      </c>
      <c r="AW57" s="26">
        <v>0</v>
      </c>
      <c r="AX57" s="26">
        <v>102.97987324041966</v>
      </c>
      <c r="AY57" s="26">
        <v>11.922178278910664</v>
      </c>
      <c r="AZ57" s="30">
        <v>8.637672649349863</v>
      </c>
      <c r="BA57" s="26">
        <v>89.023932490826567</v>
      </c>
      <c r="BB57" s="26">
        <v>25.74601881002334</v>
      </c>
      <c r="BC57" s="26">
        <v>0</v>
      </c>
      <c r="BD57" s="26">
        <v>0</v>
      </c>
      <c r="BE57" s="26">
        <v>114.76995130084991</v>
      </c>
      <c r="BF57" s="26">
        <v>17.081400690078866</v>
      </c>
      <c r="BG57" s="26">
        <v>-3.6977717778257677</v>
      </c>
      <c r="BH57" s="30">
        <v>6.7190011746232274</v>
      </c>
      <c r="BI57" s="26">
        <v>2.20178509467492</v>
      </c>
      <c r="BJ57" s="26">
        <v>5.0879904641712859</v>
      </c>
      <c r="BK57" s="26">
        <v>0</v>
      </c>
      <c r="BL57" s="26">
        <v>11.527921719183556</v>
      </c>
      <c r="BM57" s="26">
        <v>18.817697278029762</v>
      </c>
      <c r="BN57" s="26">
        <v>89.023932490826567</v>
      </c>
      <c r="BO57" s="26">
        <v>0</v>
      </c>
      <c r="BP57" s="26">
        <v>25.74601881002334</v>
      </c>
      <c r="BQ57" s="26">
        <v>0</v>
      </c>
      <c r="BR57" s="26">
        <v>0</v>
      </c>
      <c r="BS57" s="26">
        <v>0</v>
      </c>
      <c r="BT57" s="26">
        <v>0</v>
      </c>
      <c r="BU57" s="26">
        <v>0</v>
      </c>
      <c r="BV57" s="26">
        <v>561.05653642133552</v>
      </c>
      <c r="BW57" s="26">
        <v>0</v>
      </c>
      <c r="BX57" s="26">
        <v>44.093624649468318</v>
      </c>
      <c r="BY57" s="26"/>
      <c r="BZ57" s="26">
        <v>0</v>
      </c>
      <c r="CA57" s="26">
        <v>0</v>
      </c>
      <c r="CB57" s="26">
        <v>675.82648772218545</v>
      </c>
      <c r="CC57" s="26">
        <v>44.093624649468318</v>
      </c>
      <c r="CD57" s="30">
        <v>15.327079438236535</v>
      </c>
      <c r="CE57" s="26">
        <v>-231.61018054106438</v>
      </c>
      <c r="CF57" s="26">
        <v>1.6379744079163399</v>
      </c>
      <c r="CG57" s="26">
        <v>0</v>
      </c>
      <c r="CH57" s="26">
        <v>1.6379744079163399</v>
      </c>
      <c r="CI57" s="26">
        <v>8.1897953041204841E-2</v>
      </c>
      <c r="CJ57" s="26">
        <v>0</v>
      </c>
      <c r="CK57" s="26">
        <v>8.1897953041204841E-2</v>
      </c>
      <c r="CL57" s="26"/>
      <c r="CM57" s="26">
        <v>0</v>
      </c>
      <c r="CN57" s="26"/>
      <c r="CO57" s="26">
        <v>0</v>
      </c>
      <c r="CP57" s="26">
        <v>0</v>
      </c>
      <c r="CQ57" s="26">
        <v>0</v>
      </c>
      <c r="CR57" s="26">
        <v>0</v>
      </c>
      <c r="CS57" s="26">
        <v>0</v>
      </c>
      <c r="CT57" s="26">
        <v>0</v>
      </c>
      <c r="CU57" s="26">
        <v>0</v>
      </c>
      <c r="CV57" s="26">
        <v>9999</v>
      </c>
      <c r="CW57" s="30">
        <v>9999</v>
      </c>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7"/>
      <c r="C58" s="26"/>
      <c r="D58" s="26"/>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7"/>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ht="13.5" thickBot="1">
      <c r="A60" s="24" t="s">
        <v>532</v>
      </c>
      <c r="B60" s="25"/>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ht="26.25" thickBot="1">
      <c r="A61" s="265" t="s">
        <v>436</v>
      </c>
      <c r="B61" s="266"/>
      <c r="C61" s="267" t="s">
        <v>437</v>
      </c>
      <c r="D61" s="268"/>
      <c r="E61" s="268"/>
      <c r="F61" s="268"/>
      <c r="G61" s="268"/>
      <c r="H61" s="268"/>
      <c r="I61" s="268"/>
      <c r="J61" s="268"/>
      <c r="K61" s="269"/>
      <c r="L61" s="267" t="s">
        <v>202</v>
      </c>
      <c r="M61" s="268"/>
      <c r="N61" s="268"/>
      <c r="O61" s="268"/>
      <c r="P61" s="268"/>
      <c r="Q61" s="269"/>
      <c r="R61" s="267" t="s">
        <v>438</v>
      </c>
      <c r="S61" s="268"/>
      <c r="T61" s="268"/>
      <c r="U61" s="269"/>
      <c r="V61" s="267" t="s">
        <v>439</v>
      </c>
      <c r="W61" s="268"/>
      <c r="X61" s="268"/>
      <c r="Y61" s="269"/>
      <c r="Z61" s="267" t="s">
        <v>440</v>
      </c>
      <c r="AA61" s="268"/>
      <c r="AB61" s="268"/>
      <c r="AC61" s="269"/>
      <c r="AD61" s="267" t="s">
        <v>441</v>
      </c>
      <c r="AE61" s="268"/>
      <c r="AF61" s="268"/>
      <c r="AG61" s="269"/>
      <c r="AH61" s="267" t="s">
        <v>442</v>
      </c>
      <c r="AI61" s="268"/>
      <c r="AJ61" s="268"/>
      <c r="AK61" s="268"/>
      <c r="AL61" s="269"/>
      <c r="AM61" s="267" t="s">
        <v>443</v>
      </c>
      <c r="AN61" s="268"/>
      <c r="AO61" s="268"/>
      <c r="AP61" s="268"/>
      <c r="AQ61" s="268"/>
      <c r="AR61" s="268"/>
      <c r="AS61" s="269"/>
      <c r="AT61" s="267" t="s">
        <v>444</v>
      </c>
      <c r="AU61" s="268"/>
      <c r="AV61" s="268"/>
      <c r="AW61" s="268"/>
      <c r="AX61" s="268"/>
      <c r="AY61" s="268"/>
      <c r="AZ61" s="269"/>
      <c r="BA61" s="267" t="s">
        <v>445</v>
      </c>
      <c r="BB61" s="268"/>
      <c r="BC61" s="268"/>
      <c r="BD61" s="268"/>
      <c r="BE61" s="268"/>
      <c r="BF61" s="269"/>
      <c r="BG61" s="267" t="s">
        <v>446</v>
      </c>
      <c r="BH61" s="269"/>
      <c r="BI61" s="267" t="s">
        <v>447</v>
      </c>
      <c r="BJ61" s="268"/>
      <c r="BK61" s="268"/>
      <c r="BL61" s="268"/>
      <c r="BM61" s="269"/>
      <c r="BN61" s="267" t="s">
        <v>448</v>
      </c>
      <c r="BO61" s="268"/>
      <c r="BP61" s="268"/>
      <c r="BQ61" s="268"/>
      <c r="BR61" s="268"/>
      <c r="BS61" s="268"/>
      <c r="BT61" s="268"/>
      <c r="BU61" s="268"/>
      <c r="BV61" s="268"/>
      <c r="BW61" s="268"/>
      <c r="BX61" s="268"/>
      <c r="BY61" s="268"/>
      <c r="BZ61" s="268"/>
      <c r="CA61" s="268"/>
      <c r="CB61" s="268"/>
      <c r="CC61" s="269"/>
      <c r="CD61" s="267" t="s">
        <v>449</v>
      </c>
      <c r="CE61" s="269"/>
      <c r="CF61" s="267" t="s">
        <v>450</v>
      </c>
      <c r="CG61" s="268"/>
      <c r="CH61" s="268"/>
      <c r="CI61" s="268"/>
      <c r="CJ61" s="268"/>
      <c r="CK61" s="269"/>
      <c r="CL61" s="270"/>
      <c r="CM61" s="267" t="s">
        <v>5</v>
      </c>
      <c r="CN61" s="268"/>
      <c r="CO61" s="268"/>
      <c r="CP61" s="269"/>
      <c r="CQ61" s="267" t="s">
        <v>451</v>
      </c>
      <c r="CR61" s="268"/>
      <c r="CS61" s="268"/>
      <c r="CT61" s="268"/>
      <c r="CU61" s="269"/>
      <c r="CV61" s="267" t="s">
        <v>452</v>
      </c>
      <c r="CW61" s="269"/>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ht="204">
      <c r="A62" s="27" t="s">
        <v>21</v>
      </c>
      <c r="B62" s="28" t="s">
        <v>22</v>
      </c>
      <c r="C62" s="29" t="s">
        <v>340</v>
      </c>
      <c r="D62" s="29" t="s">
        <v>453</v>
      </c>
      <c r="E62" s="29" t="s">
        <v>454</v>
      </c>
      <c r="F62" s="29" t="s">
        <v>455</v>
      </c>
      <c r="G62" s="29" t="s">
        <v>456</v>
      </c>
      <c r="H62" s="29" t="s">
        <v>457</v>
      </c>
      <c r="I62" s="29" t="s">
        <v>458</v>
      </c>
      <c r="J62" s="29" t="s">
        <v>459</v>
      </c>
      <c r="K62" s="29" t="s">
        <v>460</v>
      </c>
      <c r="L62" s="29" t="s">
        <v>461</v>
      </c>
      <c r="M62" s="29" t="s">
        <v>462</v>
      </c>
      <c r="N62" s="29" t="s">
        <v>463</v>
      </c>
      <c r="O62" s="29" t="s">
        <v>464</v>
      </c>
      <c r="P62" s="29" t="s">
        <v>465</v>
      </c>
      <c r="Q62" s="29" t="s">
        <v>466</v>
      </c>
      <c r="R62" s="29" t="s">
        <v>467</v>
      </c>
      <c r="S62" s="29" t="s">
        <v>468</v>
      </c>
      <c r="T62" s="29" t="s">
        <v>469</v>
      </c>
      <c r="U62" s="29" t="s">
        <v>377</v>
      </c>
      <c r="V62" s="29" t="s">
        <v>467</v>
      </c>
      <c r="W62" s="29" t="s">
        <v>468</v>
      </c>
      <c r="X62" s="29" t="s">
        <v>469</v>
      </c>
      <c r="Y62" s="29" t="s">
        <v>377</v>
      </c>
      <c r="Z62" s="29" t="s">
        <v>467</v>
      </c>
      <c r="AA62" s="29" t="s">
        <v>468</v>
      </c>
      <c r="AB62" s="29" t="s">
        <v>469</v>
      </c>
      <c r="AC62" s="29" t="s">
        <v>377</v>
      </c>
      <c r="AD62" s="29" t="s">
        <v>467</v>
      </c>
      <c r="AE62" s="29" t="s">
        <v>468</v>
      </c>
      <c r="AF62" s="29" t="s">
        <v>469</v>
      </c>
      <c r="AG62" s="29" t="s">
        <v>377</v>
      </c>
      <c r="AH62" s="29" t="s">
        <v>467</v>
      </c>
      <c r="AI62" s="29" t="s">
        <v>468</v>
      </c>
      <c r="AJ62" s="29" t="s">
        <v>469</v>
      </c>
      <c r="AK62" s="29" t="s">
        <v>377</v>
      </c>
      <c r="AL62" s="29" t="s">
        <v>470</v>
      </c>
      <c r="AM62" s="29" t="s">
        <v>471</v>
      </c>
      <c r="AN62" s="29" t="s">
        <v>472</v>
      </c>
      <c r="AO62" s="29" t="s">
        <v>473</v>
      </c>
      <c r="AP62" s="29" t="s">
        <v>474</v>
      </c>
      <c r="AQ62" s="29" t="s">
        <v>475</v>
      </c>
      <c r="AR62" s="29" t="s">
        <v>476</v>
      </c>
      <c r="AS62" s="29" t="s">
        <v>477</v>
      </c>
      <c r="AT62" s="29" t="s">
        <v>478</v>
      </c>
      <c r="AU62" s="29" t="s">
        <v>479</v>
      </c>
      <c r="AV62" s="29" t="s">
        <v>480</v>
      </c>
      <c r="AW62" s="29" t="s">
        <v>481</v>
      </c>
      <c r="AX62" s="29" t="s">
        <v>482</v>
      </c>
      <c r="AY62" s="29" t="s">
        <v>483</v>
      </c>
      <c r="AZ62" s="29" t="s">
        <v>484</v>
      </c>
      <c r="BA62" s="29" t="s">
        <v>485</v>
      </c>
      <c r="BB62" s="29" t="s">
        <v>486</v>
      </c>
      <c r="BC62" s="29" t="s">
        <v>487</v>
      </c>
      <c r="BD62" s="29" t="s">
        <v>488</v>
      </c>
      <c r="BE62" s="29" t="s">
        <v>489</v>
      </c>
      <c r="BF62" s="29" t="s">
        <v>490</v>
      </c>
      <c r="BG62" s="29" t="s">
        <v>491</v>
      </c>
      <c r="BH62" s="29" t="s">
        <v>492</v>
      </c>
      <c r="BI62" s="29" t="s">
        <v>493</v>
      </c>
      <c r="BJ62" s="29" t="s">
        <v>494</v>
      </c>
      <c r="BK62" s="29" t="s">
        <v>495</v>
      </c>
      <c r="BL62" s="29" t="s">
        <v>496</v>
      </c>
      <c r="BM62" s="29" t="s">
        <v>497</v>
      </c>
      <c r="BN62" s="29" t="s">
        <v>498</v>
      </c>
      <c r="BO62" s="29" t="s">
        <v>499</v>
      </c>
      <c r="BP62" s="29" t="s">
        <v>500</v>
      </c>
      <c r="BQ62" s="29" t="s">
        <v>501</v>
      </c>
      <c r="BR62" s="29" t="s">
        <v>502</v>
      </c>
      <c r="BS62" s="29" t="s">
        <v>503</v>
      </c>
      <c r="BT62" s="29" t="s">
        <v>504</v>
      </c>
      <c r="BU62" s="29" t="s">
        <v>505</v>
      </c>
      <c r="BV62" s="29" t="s">
        <v>506</v>
      </c>
      <c r="BW62" s="29" t="s">
        <v>507</v>
      </c>
      <c r="BX62" s="29" t="s">
        <v>508</v>
      </c>
      <c r="BY62" s="29" t="s">
        <v>509</v>
      </c>
      <c r="BZ62" s="29" t="s">
        <v>510</v>
      </c>
      <c r="CA62" s="29" t="s">
        <v>511</v>
      </c>
      <c r="CB62" s="29" t="s">
        <v>512</v>
      </c>
      <c r="CC62" s="29" t="s">
        <v>513</v>
      </c>
      <c r="CD62" s="29" t="s">
        <v>23</v>
      </c>
      <c r="CE62" s="29" t="s">
        <v>24</v>
      </c>
      <c r="CF62" s="29" t="s">
        <v>514</v>
      </c>
      <c r="CG62" s="29" t="s">
        <v>515</v>
      </c>
      <c r="CH62" s="29" t="s">
        <v>516</v>
      </c>
      <c r="CI62" s="29" t="s">
        <v>517</v>
      </c>
      <c r="CJ62" s="29" t="s">
        <v>518</v>
      </c>
      <c r="CK62" s="29" t="s">
        <v>519</v>
      </c>
      <c r="CL62" s="29"/>
      <c r="CM62" s="29" t="s">
        <v>520</v>
      </c>
      <c r="CN62" s="29" t="s">
        <v>521</v>
      </c>
      <c r="CO62" s="29" t="s">
        <v>522</v>
      </c>
      <c r="CP62" s="29" t="s">
        <v>523</v>
      </c>
      <c r="CQ62" s="29" t="s">
        <v>524</v>
      </c>
      <c r="CR62" s="29" t="s">
        <v>525</v>
      </c>
      <c r="CS62" s="29" t="s">
        <v>526</v>
      </c>
      <c r="CT62" s="29" t="s">
        <v>527</v>
      </c>
      <c r="CU62" s="29" t="s">
        <v>528</v>
      </c>
      <c r="CV62" s="29" t="s">
        <v>529</v>
      </c>
      <c r="CW62" s="29" t="s">
        <v>530</v>
      </c>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t="s">
        <v>620</v>
      </c>
      <c r="B63" s="7"/>
      <c r="C63" s="26">
        <v>10</v>
      </c>
      <c r="D63" s="26">
        <v>52.671309915720371</v>
      </c>
      <c r="E63" s="26">
        <v>1.9063833989050316</v>
      </c>
      <c r="F63" s="26">
        <v>0</v>
      </c>
      <c r="G63" s="26">
        <v>0</v>
      </c>
      <c r="H63" s="26">
        <v>0</v>
      </c>
      <c r="I63" s="26"/>
      <c r="J63" s="26"/>
      <c r="K63" s="26"/>
      <c r="L63" s="26">
        <v>56.616194615468245</v>
      </c>
      <c r="M63" s="26">
        <v>1.0956571694973402E-2</v>
      </c>
      <c r="N63" s="26">
        <v>1.0877492073883298E-2</v>
      </c>
      <c r="O63" s="26">
        <v>1.9254472328940819</v>
      </c>
      <c r="P63" s="26">
        <v>0</v>
      </c>
      <c r="Q63" s="26">
        <v>0</v>
      </c>
      <c r="R63" s="26">
        <v>0</v>
      </c>
      <c r="S63" s="26">
        <v>0</v>
      </c>
      <c r="T63" s="26">
        <v>0</v>
      </c>
      <c r="U63" s="26">
        <v>0</v>
      </c>
      <c r="V63" s="26">
        <v>0</v>
      </c>
      <c r="W63" s="26">
        <v>0</v>
      </c>
      <c r="X63" s="26">
        <v>0</v>
      </c>
      <c r="Y63" s="26">
        <v>0</v>
      </c>
      <c r="Z63" s="26">
        <v>0</v>
      </c>
      <c r="AA63" s="26">
        <v>0</v>
      </c>
      <c r="AB63" s="26">
        <v>0</v>
      </c>
      <c r="AC63" s="26">
        <v>0</v>
      </c>
      <c r="AD63" s="26">
        <v>0</v>
      </c>
      <c r="AE63" s="26">
        <v>0</v>
      </c>
      <c r="AF63" s="26">
        <v>0</v>
      </c>
      <c r="AG63" s="26">
        <v>0</v>
      </c>
      <c r="AH63" s="26">
        <v>0</v>
      </c>
      <c r="AI63" s="26">
        <v>0</v>
      </c>
      <c r="AJ63" s="26">
        <v>0</v>
      </c>
      <c r="AK63" s="26">
        <v>0</v>
      </c>
      <c r="AL63" s="26">
        <v>0</v>
      </c>
      <c r="AM63" s="26">
        <v>29.232638272162525</v>
      </c>
      <c r="AN63" s="26">
        <v>3.8714880088748305</v>
      </c>
      <c r="AO63" s="26">
        <v>0</v>
      </c>
      <c r="AP63" s="26">
        <v>0</v>
      </c>
      <c r="AQ63" s="26">
        <v>33.104126281037352</v>
      </c>
      <c r="AR63" s="26">
        <v>0</v>
      </c>
      <c r="AS63" s="30">
        <v>9999</v>
      </c>
      <c r="AT63" s="26">
        <v>29.232638272162525</v>
      </c>
      <c r="AU63" s="26">
        <v>4.5826886800650755</v>
      </c>
      <c r="AV63" s="26">
        <v>0</v>
      </c>
      <c r="AW63" s="26">
        <v>0</v>
      </c>
      <c r="AX63" s="26">
        <v>33.815326952227601</v>
      </c>
      <c r="AY63" s="26">
        <v>0</v>
      </c>
      <c r="AZ63" s="30">
        <v>9999</v>
      </c>
      <c r="BA63" s="26">
        <v>29.232638272162525</v>
      </c>
      <c r="BB63" s="26">
        <v>8.4541766889399064</v>
      </c>
      <c r="BC63" s="26">
        <v>0</v>
      </c>
      <c r="BD63" s="26">
        <v>0</v>
      </c>
      <c r="BE63" s="26">
        <v>37.686814961102428</v>
      </c>
      <c r="BF63" s="26">
        <v>0</v>
      </c>
      <c r="BG63" s="26">
        <v>-10.987547336671968</v>
      </c>
      <c r="BH63" s="30">
        <v>9999</v>
      </c>
      <c r="BI63" s="26">
        <v>0</v>
      </c>
      <c r="BJ63" s="26">
        <v>0</v>
      </c>
      <c r="BK63" s="26">
        <v>0</v>
      </c>
      <c r="BL63" s="26">
        <v>0</v>
      </c>
      <c r="BM63" s="26">
        <v>0</v>
      </c>
      <c r="BN63" s="26">
        <v>29.232638272162525</v>
      </c>
      <c r="BO63" s="26">
        <v>14.02504718090861</v>
      </c>
      <c r="BP63" s="26">
        <v>8.4541766889399064</v>
      </c>
      <c r="BQ63" s="26">
        <v>0</v>
      </c>
      <c r="BR63" s="26">
        <v>0</v>
      </c>
      <c r="BS63" s="26">
        <v>0</v>
      </c>
      <c r="BT63" s="26">
        <v>0</v>
      </c>
      <c r="BU63" s="26">
        <v>0</v>
      </c>
      <c r="BV63" s="26">
        <v>160.94052040771399</v>
      </c>
      <c r="BW63" s="26">
        <v>0</v>
      </c>
      <c r="BX63" s="26">
        <v>0</v>
      </c>
      <c r="BY63" s="26">
        <v>0</v>
      </c>
      <c r="BZ63" s="26">
        <v>0</v>
      </c>
      <c r="CA63" s="26">
        <v>0</v>
      </c>
      <c r="CB63" s="26">
        <v>212.65238254972505</v>
      </c>
      <c r="CC63" s="26">
        <v>0</v>
      </c>
      <c r="CD63" s="30">
        <v>9999</v>
      </c>
      <c r="CE63" s="26">
        <v>-238.38313260787731</v>
      </c>
      <c r="CF63" s="26">
        <v>0.5378588883456934</v>
      </c>
      <c r="CG63" s="26">
        <v>0.22527732624860755</v>
      </c>
      <c r="CH63" s="26">
        <v>0.76313621459430092</v>
      </c>
      <c r="CI63" s="26">
        <v>2.6892692442347418E-2</v>
      </c>
      <c r="CJ63" s="26">
        <v>1.1263866312430378E-2</v>
      </c>
      <c r="CK63" s="26">
        <v>3.8156558754777796E-2</v>
      </c>
      <c r="CL63" s="26"/>
      <c r="CM63" s="26">
        <v>1.9254472328940819</v>
      </c>
      <c r="CN63" s="26"/>
      <c r="CO63" s="26">
        <v>0</v>
      </c>
      <c r="CP63" s="26">
        <v>0</v>
      </c>
      <c r="CQ63" s="26">
        <v>14.02504718090861</v>
      </c>
      <c r="CR63" s="26">
        <v>0</v>
      </c>
      <c r="CS63" s="26">
        <v>0</v>
      </c>
      <c r="CT63" s="26">
        <v>14.02504718090861</v>
      </c>
      <c r="CU63" s="26">
        <v>0</v>
      </c>
      <c r="CV63" s="26">
        <v>0</v>
      </c>
      <c r="CW63" s="30">
        <v>9999</v>
      </c>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t="s">
        <v>623</v>
      </c>
      <c r="B64" s="7"/>
      <c r="C64" s="26">
        <v>10</v>
      </c>
      <c r="D64" s="26">
        <v>54.82441418176802</v>
      </c>
      <c r="E64" s="26">
        <v>1.9843127732736008</v>
      </c>
      <c r="F64" s="26">
        <v>0</v>
      </c>
      <c r="G64" s="26">
        <v>0</v>
      </c>
      <c r="H64" s="26">
        <v>0</v>
      </c>
      <c r="I64" s="26"/>
      <c r="J64" s="26"/>
      <c r="K64" s="26"/>
      <c r="L64" s="26">
        <v>58.930558362050633</v>
      </c>
      <c r="M64" s="26">
        <v>1.1404455776372774E-2</v>
      </c>
      <c r="N64" s="26">
        <v>1.1322143528833871E-2</v>
      </c>
      <c r="O64" s="26">
        <v>2.004155901006337</v>
      </c>
      <c r="P64" s="26">
        <v>0</v>
      </c>
      <c r="Q64" s="26">
        <v>0</v>
      </c>
      <c r="R64" s="26">
        <v>0</v>
      </c>
      <c r="S64" s="26">
        <v>0</v>
      </c>
      <c r="T64" s="26">
        <v>0</v>
      </c>
      <c r="U64" s="26">
        <v>0</v>
      </c>
      <c r="V64" s="26">
        <v>0</v>
      </c>
      <c r="W64" s="26">
        <v>0</v>
      </c>
      <c r="X64" s="26">
        <v>0</v>
      </c>
      <c r="Y64" s="26">
        <v>0</v>
      </c>
      <c r="Z64" s="26">
        <v>0</v>
      </c>
      <c r="AA64" s="26">
        <v>0</v>
      </c>
      <c r="AB64" s="26">
        <v>0</v>
      </c>
      <c r="AC64" s="26">
        <v>0</v>
      </c>
      <c r="AD64" s="26">
        <v>0</v>
      </c>
      <c r="AE64" s="26">
        <v>0</v>
      </c>
      <c r="AF64" s="26">
        <v>0</v>
      </c>
      <c r="AG64" s="26">
        <v>0</v>
      </c>
      <c r="AH64" s="26">
        <v>0</v>
      </c>
      <c r="AI64" s="26">
        <v>0</v>
      </c>
      <c r="AJ64" s="26">
        <v>0</v>
      </c>
      <c r="AK64" s="26">
        <v>0</v>
      </c>
      <c r="AL64" s="26">
        <v>0</v>
      </c>
      <c r="AM64" s="26">
        <v>30.427613644378141</v>
      </c>
      <c r="AN64" s="26">
        <v>4.0297471704791041</v>
      </c>
      <c r="AO64" s="26">
        <v>0</v>
      </c>
      <c r="AP64" s="26">
        <v>0</v>
      </c>
      <c r="AQ64" s="26">
        <v>34.457360814857246</v>
      </c>
      <c r="AR64" s="26">
        <v>0</v>
      </c>
      <c r="AS64" s="30">
        <v>9999</v>
      </c>
      <c r="AT64" s="26">
        <v>30.427613644378141</v>
      </c>
      <c r="AU64" s="26">
        <v>4.7700203899239053</v>
      </c>
      <c r="AV64" s="26">
        <v>0</v>
      </c>
      <c r="AW64" s="26">
        <v>0</v>
      </c>
      <c r="AX64" s="26">
        <v>35.197634034302048</v>
      </c>
      <c r="AY64" s="26">
        <v>0</v>
      </c>
      <c r="AZ64" s="30">
        <v>9999</v>
      </c>
      <c r="BA64" s="26">
        <v>30.427613644378141</v>
      </c>
      <c r="BB64" s="26">
        <v>8.7997675604030086</v>
      </c>
      <c r="BC64" s="26">
        <v>0</v>
      </c>
      <c r="BD64" s="26">
        <v>0</v>
      </c>
      <c r="BE64" s="26">
        <v>39.227381204781153</v>
      </c>
      <c r="BF64" s="26">
        <v>0</v>
      </c>
      <c r="BG64" s="26">
        <v>-10.987547336671975</v>
      </c>
      <c r="BH64" s="30">
        <v>9999</v>
      </c>
      <c r="BI64" s="26">
        <v>0</v>
      </c>
      <c r="BJ64" s="26">
        <v>0</v>
      </c>
      <c r="BK64" s="26">
        <v>0</v>
      </c>
      <c r="BL64" s="26">
        <v>0</v>
      </c>
      <c r="BM64" s="26">
        <v>0</v>
      </c>
      <c r="BN64" s="26">
        <v>30.427613644378141</v>
      </c>
      <c r="BO64" s="26">
        <v>14.598364779522635</v>
      </c>
      <c r="BP64" s="26">
        <v>8.7997675604030086</v>
      </c>
      <c r="BQ64" s="26">
        <v>0</v>
      </c>
      <c r="BR64" s="26">
        <v>0</v>
      </c>
      <c r="BS64" s="26">
        <v>0</v>
      </c>
      <c r="BT64" s="26">
        <v>0</v>
      </c>
      <c r="BU64" s="26">
        <v>0</v>
      </c>
      <c r="BV64" s="26">
        <v>160.94052040771365</v>
      </c>
      <c r="BW64" s="26">
        <v>0</v>
      </c>
      <c r="BX64" s="26">
        <v>0</v>
      </c>
      <c r="BY64" s="26">
        <v>0</v>
      </c>
      <c r="BZ64" s="26">
        <v>0</v>
      </c>
      <c r="CA64" s="26">
        <v>0</v>
      </c>
      <c r="CB64" s="26">
        <v>214.76626639201743</v>
      </c>
      <c r="CC64" s="26">
        <v>0</v>
      </c>
      <c r="CD64" s="30">
        <v>9999</v>
      </c>
      <c r="CE64" s="26">
        <v>-230.16854242343911</v>
      </c>
      <c r="CF64" s="26">
        <v>0.55984554994347424</v>
      </c>
      <c r="CG64" s="26">
        <v>0.23448624041774171</v>
      </c>
      <c r="CH64" s="26">
        <v>0.79433179036121593</v>
      </c>
      <c r="CI64" s="26">
        <v>2.7992015221974045E-2</v>
      </c>
      <c r="CJ64" s="26">
        <v>1.172431202088707E-2</v>
      </c>
      <c r="CK64" s="26">
        <v>3.9716327242861116E-2</v>
      </c>
      <c r="CL64" s="26"/>
      <c r="CM64" s="26">
        <v>2.004155901006337</v>
      </c>
      <c r="CN64" s="26"/>
      <c r="CO64" s="26">
        <v>0</v>
      </c>
      <c r="CP64" s="26">
        <v>0</v>
      </c>
      <c r="CQ64" s="26">
        <v>14.598364779522635</v>
      </c>
      <c r="CR64" s="26">
        <v>0</v>
      </c>
      <c r="CS64" s="26">
        <v>0</v>
      </c>
      <c r="CT64" s="26">
        <v>14.598364779522635</v>
      </c>
      <c r="CU64" s="26">
        <v>0</v>
      </c>
      <c r="CV64" s="26">
        <v>0</v>
      </c>
      <c r="CW64" s="30">
        <v>9999</v>
      </c>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t="s">
        <v>621</v>
      </c>
      <c r="B65" s="7"/>
      <c r="C65" s="26">
        <v>10</v>
      </c>
      <c r="D65" s="26">
        <v>63.784821598704866</v>
      </c>
      <c r="E65" s="26">
        <v>0.15919903383713296</v>
      </c>
      <c r="F65" s="26">
        <v>0</v>
      </c>
      <c r="G65" s="26">
        <v>0</v>
      </c>
      <c r="H65" s="26">
        <v>0</v>
      </c>
      <c r="I65" s="26"/>
      <c r="J65" s="26"/>
      <c r="K65" s="26"/>
      <c r="L65" s="26">
        <v>68.562066880880366</v>
      </c>
      <c r="M65" s="26">
        <v>1.3268380300690299E-2</v>
      </c>
      <c r="N65" s="26">
        <v>1.3172615081799854E-2</v>
      </c>
      <c r="O65" s="26">
        <v>0.16079102417550428</v>
      </c>
      <c r="P65" s="26">
        <v>0</v>
      </c>
      <c r="Q65" s="26">
        <v>0</v>
      </c>
      <c r="R65" s="26">
        <v>0</v>
      </c>
      <c r="S65" s="26">
        <v>0</v>
      </c>
      <c r="T65" s="26">
        <v>0</v>
      </c>
      <c r="U65" s="26">
        <v>0</v>
      </c>
      <c r="V65" s="26">
        <v>0</v>
      </c>
      <c r="W65" s="26">
        <v>0</v>
      </c>
      <c r="X65" s="26">
        <v>0</v>
      </c>
      <c r="Y65" s="26">
        <v>0</v>
      </c>
      <c r="Z65" s="26">
        <v>0</v>
      </c>
      <c r="AA65" s="26">
        <v>0</v>
      </c>
      <c r="AB65" s="26">
        <v>0</v>
      </c>
      <c r="AC65" s="26">
        <v>0</v>
      </c>
      <c r="AD65" s="26">
        <v>0</v>
      </c>
      <c r="AE65" s="26">
        <v>0</v>
      </c>
      <c r="AF65" s="26">
        <v>0</v>
      </c>
      <c r="AG65" s="26">
        <v>0</v>
      </c>
      <c r="AH65" s="26">
        <v>0</v>
      </c>
      <c r="AI65" s="26">
        <v>0</v>
      </c>
      <c r="AJ65" s="26">
        <v>0</v>
      </c>
      <c r="AK65" s="26">
        <v>0</v>
      </c>
      <c r="AL65" s="26">
        <v>0</v>
      </c>
      <c r="AM65" s="26">
        <v>35.400650183808104</v>
      </c>
      <c r="AN65" s="26">
        <v>4.6883620772435615</v>
      </c>
      <c r="AO65" s="26">
        <v>0</v>
      </c>
      <c r="AP65" s="26">
        <v>0</v>
      </c>
      <c r="AQ65" s="26">
        <v>40.089012261051664</v>
      </c>
      <c r="AR65" s="26">
        <v>0</v>
      </c>
      <c r="AS65" s="30">
        <v>9999</v>
      </c>
      <c r="AT65" s="26">
        <v>35.400650183808104</v>
      </c>
      <c r="AU65" s="26">
        <v>5.5496242711273993</v>
      </c>
      <c r="AV65" s="26">
        <v>0</v>
      </c>
      <c r="AW65" s="26">
        <v>0</v>
      </c>
      <c r="AX65" s="26">
        <v>40.950274454935503</v>
      </c>
      <c r="AY65" s="26">
        <v>0</v>
      </c>
      <c r="AZ65" s="30">
        <v>9999</v>
      </c>
      <c r="BA65" s="26">
        <v>35.400650183808104</v>
      </c>
      <c r="BB65" s="26">
        <v>10.23798634837096</v>
      </c>
      <c r="BC65" s="26">
        <v>0</v>
      </c>
      <c r="BD65" s="26">
        <v>0</v>
      </c>
      <c r="BE65" s="26">
        <v>45.638636532179063</v>
      </c>
      <c r="BF65" s="26">
        <v>0</v>
      </c>
      <c r="BG65" s="26">
        <v>-10.98754733667197</v>
      </c>
      <c r="BH65" s="30">
        <v>9999</v>
      </c>
      <c r="BI65" s="26">
        <v>0</v>
      </c>
      <c r="BJ65" s="26">
        <v>0</v>
      </c>
      <c r="BK65" s="26">
        <v>0</v>
      </c>
      <c r="BL65" s="26">
        <v>0</v>
      </c>
      <c r="BM65" s="26">
        <v>0</v>
      </c>
      <c r="BN65" s="26">
        <v>35.400650183808104</v>
      </c>
      <c r="BO65" s="26">
        <v>1.1712092971452104</v>
      </c>
      <c r="BP65" s="26">
        <v>10.23798634837096</v>
      </c>
      <c r="BQ65" s="26">
        <v>0</v>
      </c>
      <c r="BR65" s="26">
        <v>0</v>
      </c>
      <c r="BS65" s="26">
        <v>0</v>
      </c>
      <c r="BT65" s="26">
        <v>0</v>
      </c>
      <c r="BU65" s="26">
        <v>0</v>
      </c>
      <c r="BV65" s="26">
        <v>113.60507322897436</v>
      </c>
      <c r="BW65" s="26">
        <v>0</v>
      </c>
      <c r="BX65" s="26">
        <v>0</v>
      </c>
      <c r="BY65" s="26">
        <v>0</v>
      </c>
      <c r="BZ65" s="26">
        <v>0</v>
      </c>
      <c r="CA65" s="26">
        <v>0</v>
      </c>
      <c r="CB65" s="26">
        <v>160.41491905829861</v>
      </c>
      <c r="CC65" s="26">
        <v>0</v>
      </c>
      <c r="CD65" s="30">
        <v>9999</v>
      </c>
      <c r="CE65" s="26">
        <v>-134.16702760464855</v>
      </c>
      <c r="CF65" s="26">
        <v>0.65134573818845609</v>
      </c>
      <c r="CG65" s="26">
        <v>1.8812549828534014E-2</v>
      </c>
      <c r="CH65" s="26">
        <v>0.67015828801699007</v>
      </c>
      <c r="CI65" s="26">
        <v>3.2566981768418164E-2</v>
      </c>
      <c r="CJ65" s="26">
        <v>9.4062749142669998E-4</v>
      </c>
      <c r="CK65" s="26">
        <v>3.3507609259844862E-2</v>
      </c>
      <c r="CL65" s="26"/>
      <c r="CM65" s="26">
        <v>0.16079102417550428</v>
      </c>
      <c r="CN65" s="26"/>
      <c r="CO65" s="26">
        <v>0</v>
      </c>
      <c r="CP65" s="26">
        <v>0</v>
      </c>
      <c r="CQ65" s="26">
        <v>1.1712092971452104</v>
      </c>
      <c r="CR65" s="26">
        <v>0</v>
      </c>
      <c r="CS65" s="26">
        <v>0</v>
      </c>
      <c r="CT65" s="26">
        <v>1.1712092971452104</v>
      </c>
      <c r="CU65" s="26">
        <v>0</v>
      </c>
      <c r="CV65" s="26">
        <v>0</v>
      </c>
      <c r="CW65" s="30">
        <v>9999</v>
      </c>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t="s">
        <v>624</v>
      </c>
      <c r="B66" s="7"/>
      <c r="C66" s="26">
        <v>10</v>
      </c>
      <c r="D66" s="26">
        <v>66.392225358228018</v>
      </c>
      <c r="E66" s="26">
        <v>0.16570679146560008</v>
      </c>
      <c r="F66" s="26">
        <v>0</v>
      </c>
      <c r="G66" s="26">
        <v>0</v>
      </c>
      <c r="H66" s="26">
        <v>0</v>
      </c>
      <c r="I66" s="26"/>
      <c r="J66" s="26"/>
      <c r="K66" s="26"/>
      <c r="L66" s="26">
        <v>71.364755458902735</v>
      </c>
      <c r="M66" s="26">
        <v>1.3810766777781352E-2</v>
      </c>
      <c r="N66" s="26">
        <v>1.3711086856528994E-2</v>
      </c>
      <c r="O66" s="26">
        <v>0.16736385938025608</v>
      </c>
      <c r="P66" s="26">
        <v>0</v>
      </c>
      <c r="Q66" s="26">
        <v>0</v>
      </c>
      <c r="R66" s="26">
        <v>0</v>
      </c>
      <c r="S66" s="26">
        <v>0</v>
      </c>
      <c r="T66" s="26">
        <v>0</v>
      </c>
      <c r="U66" s="26">
        <v>0</v>
      </c>
      <c r="V66" s="26">
        <v>0</v>
      </c>
      <c r="W66" s="26">
        <v>0</v>
      </c>
      <c r="X66" s="26">
        <v>0</v>
      </c>
      <c r="Y66" s="26">
        <v>0</v>
      </c>
      <c r="Z66" s="26">
        <v>0</v>
      </c>
      <c r="AA66" s="26">
        <v>0</v>
      </c>
      <c r="AB66" s="26">
        <v>0</v>
      </c>
      <c r="AC66" s="26">
        <v>0</v>
      </c>
      <c r="AD66" s="26">
        <v>0</v>
      </c>
      <c r="AE66" s="26">
        <v>0</v>
      </c>
      <c r="AF66" s="26">
        <v>0</v>
      </c>
      <c r="AG66" s="26">
        <v>0</v>
      </c>
      <c r="AH66" s="26">
        <v>0</v>
      </c>
      <c r="AI66" s="26">
        <v>0</v>
      </c>
      <c r="AJ66" s="26">
        <v>0</v>
      </c>
      <c r="AK66" s="26">
        <v>0</v>
      </c>
      <c r="AL66" s="26">
        <v>0</v>
      </c>
      <c r="AM66" s="26">
        <v>36.84776230335823</v>
      </c>
      <c r="AN66" s="26">
        <v>4.8800135171914452</v>
      </c>
      <c r="AO66" s="26">
        <v>0</v>
      </c>
      <c r="AP66" s="26">
        <v>0</v>
      </c>
      <c r="AQ66" s="26">
        <v>41.727775820549674</v>
      </c>
      <c r="AR66" s="26">
        <v>0</v>
      </c>
      <c r="AS66" s="30">
        <v>9999</v>
      </c>
      <c r="AT66" s="26">
        <v>36.84776230335823</v>
      </c>
      <c r="AU66" s="26">
        <v>5.7764824926572116</v>
      </c>
      <c r="AV66" s="26">
        <v>0</v>
      </c>
      <c r="AW66" s="26">
        <v>0</v>
      </c>
      <c r="AX66" s="26">
        <v>42.624244796015439</v>
      </c>
      <c r="AY66" s="26">
        <v>0</v>
      </c>
      <c r="AZ66" s="30">
        <v>9999</v>
      </c>
      <c r="BA66" s="26">
        <v>36.84776230335823</v>
      </c>
      <c r="BB66" s="26">
        <v>10.656496009848656</v>
      </c>
      <c r="BC66" s="26">
        <v>0</v>
      </c>
      <c r="BD66" s="26">
        <v>0</v>
      </c>
      <c r="BE66" s="26">
        <v>47.504258313206883</v>
      </c>
      <c r="BF66" s="26">
        <v>0</v>
      </c>
      <c r="BG66" s="26">
        <v>-10.987547336671966</v>
      </c>
      <c r="BH66" s="30">
        <v>9999</v>
      </c>
      <c r="BI66" s="26">
        <v>0</v>
      </c>
      <c r="BJ66" s="26">
        <v>0</v>
      </c>
      <c r="BK66" s="26">
        <v>0</v>
      </c>
      <c r="BL66" s="26">
        <v>0</v>
      </c>
      <c r="BM66" s="26">
        <v>0</v>
      </c>
      <c r="BN66" s="26">
        <v>36.84776230335823</v>
      </c>
      <c r="BO66" s="26">
        <v>1.2190861344244219</v>
      </c>
      <c r="BP66" s="26">
        <v>10.656496009848656</v>
      </c>
      <c r="BQ66" s="26">
        <v>0</v>
      </c>
      <c r="BR66" s="26">
        <v>0</v>
      </c>
      <c r="BS66" s="26">
        <v>0</v>
      </c>
      <c r="BT66" s="26">
        <v>0</v>
      </c>
      <c r="BU66" s="26">
        <v>0</v>
      </c>
      <c r="BV66" s="26">
        <v>113.60507322897449</v>
      </c>
      <c r="BW66" s="26">
        <v>0</v>
      </c>
      <c r="BX66" s="26">
        <v>0</v>
      </c>
      <c r="BY66" s="26">
        <v>0</v>
      </c>
      <c r="BZ66" s="26">
        <v>0</v>
      </c>
      <c r="CA66" s="26">
        <v>0</v>
      </c>
      <c r="CB66" s="26">
        <v>162.3284176766058</v>
      </c>
      <c r="CC66" s="26">
        <v>0</v>
      </c>
      <c r="CD66" s="30">
        <v>9999</v>
      </c>
      <c r="CE66" s="26">
        <v>-129.37879763441686</v>
      </c>
      <c r="CF66" s="26">
        <v>0.67797152915149617</v>
      </c>
      <c r="CG66" s="26">
        <v>1.9581571547489952E-2</v>
      </c>
      <c r="CH66" s="26">
        <v>0.69755310069898613</v>
      </c>
      <c r="CI66" s="26">
        <v>3.3898258842978798E-2</v>
      </c>
      <c r="CJ66" s="26">
        <v>9.7907857737449802E-4</v>
      </c>
      <c r="CK66" s="26">
        <v>3.4877337420353295E-2</v>
      </c>
      <c r="CL66" s="26"/>
      <c r="CM66" s="26">
        <v>0.16736385938025608</v>
      </c>
      <c r="CN66" s="26"/>
      <c r="CO66" s="26">
        <v>0</v>
      </c>
      <c r="CP66" s="26">
        <v>0</v>
      </c>
      <c r="CQ66" s="26">
        <v>1.2190861344244219</v>
      </c>
      <c r="CR66" s="26">
        <v>0</v>
      </c>
      <c r="CS66" s="26">
        <v>0</v>
      </c>
      <c r="CT66" s="26">
        <v>1.2190861344244219</v>
      </c>
      <c r="CU66" s="26">
        <v>0</v>
      </c>
      <c r="CV66" s="26">
        <v>0</v>
      </c>
      <c r="CW66" s="30">
        <v>9999</v>
      </c>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t="s">
        <v>622</v>
      </c>
      <c r="B67" s="7"/>
      <c r="C67" s="26">
        <v>10</v>
      </c>
      <c r="D67" s="26">
        <v>78.278342279970616</v>
      </c>
      <c r="E67" s="26">
        <v>0.43587306227755018</v>
      </c>
      <c r="F67" s="26">
        <v>0</v>
      </c>
      <c r="G67" s="26">
        <v>0</v>
      </c>
      <c r="H67" s="26">
        <v>0</v>
      </c>
      <c r="I67" s="26"/>
      <c r="J67" s="26"/>
      <c r="K67" s="26"/>
      <c r="L67" s="26">
        <v>84.141098214387171</v>
      </c>
      <c r="M67" s="26">
        <v>1.628329105022289E-2</v>
      </c>
      <c r="N67" s="26">
        <v>1.6165765557559681E-2</v>
      </c>
      <c r="O67" s="26">
        <v>0.44023179290032571</v>
      </c>
      <c r="P67" s="26">
        <v>0</v>
      </c>
      <c r="Q67" s="26">
        <v>0</v>
      </c>
      <c r="R67" s="26">
        <v>0</v>
      </c>
      <c r="S67" s="26">
        <v>0</v>
      </c>
      <c r="T67" s="26">
        <v>0</v>
      </c>
      <c r="U67" s="26">
        <v>0</v>
      </c>
      <c r="V67" s="26">
        <v>0</v>
      </c>
      <c r="W67" s="26">
        <v>0</v>
      </c>
      <c r="X67" s="26">
        <v>0</v>
      </c>
      <c r="Y67" s="26">
        <v>0</v>
      </c>
      <c r="Z67" s="26">
        <v>0</v>
      </c>
      <c r="AA67" s="26">
        <v>0</v>
      </c>
      <c r="AB67" s="26">
        <v>0</v>
      </c>
      <c r="AC67" s="26">
        <v>0</v>
      </c>
      <c r="AD67" s="26">
        <v>0</v>
      </c>
      <c r="AE67" s="26">
        <v>0</v>
      </c>
      <c r="AF67" s="26">
        <v>0</v>
      </c>
      <c r="AG67" s="26">
        <v>0</v>
      </c>
      <c r="AH67" s="26">
        <v>0</v>
      </c>
      <c r="AI67" s="26">
        <v>0</v>
      </c>
      <c r="AJ67" s="26">
        <v>0</v>
      </c>
      <c r="AK67" s="26">
        <v>0</v>
      </c>
      <c r="AL67" s="26">
        <v>0</v>
      </c>
      <c r="AM67" s="26">
        <v>43.444571021233472</v>
      </c>
      <c r="AN67" s="26">
        <v>5.753676222908136</v>
      </c>
      <c r="AO67" s="26">
        <v>0</v>
      </c>
      <c r="AP67" s="26">
        <v>0</v>
      </c>
      <c r="AQ67" s="26">
        <v>49.198247244141605</v>
      </c>
      <c r="AR67" s="26">
        <v>0</v>
      </c>
      <c r="AS67" s="30">
        <v>9999</v>
      </c>
      <c r="AT67" s="26">
        <v>43.444571021233472</v>
      </c>
      <c r="AU67" s="26">
        <v>6.8106389158477105</v>
      </c>
      <c r="AV67" s="26">
        <v>0</v>
      </c>
      <c r="AW67" s="26">
        <v>0</v>
      </c>
      <c r="AX67" s="26">
        <v>50.255209937081183</v>
      </c>
      <c r="AY67" s="26">
        <v>0</v>
      </c>
      <c r="AZ67" s="30">
        <v>9999</v>
      </c>
      <c r="BA67" s="26">
        <v>43.444571021233472</v>
      </c>
      <c r="BB67" s="26">
        <v>12.564315138755846</v>
      </c>
      <c r="BC67" s="26">
        <v>0</v>
      </c>
      <c r="BD67" s="26">
        <v>0</v>
      </c>
      <c r="BE67" s="26">
        <v>56.008886159989316</v>
      </c>
      <c r="BF67" s="26">
        <v>0</v>
      </c>
      <c r="BG67" s="26">
        <v>-10.987547336671966</v>
      </c>
      <c r="BH67" s="30">
        <v>9999</v>
      </c>
      <c r="BI67" s="26">
        <v>0</v>
      </c>
      <c r="BJ67" s="26">
        <v>0</v>
      </c>
      <c r="BK67" s="26">
        <v>0</v>
      </c>
      <c r="BL67" s="26">
        <v>0</v>
      </c>
      <c r="BM67" s="26">
        <v>0</v>
      </c>
      <c r="BN67" s="26">
        <v>43.444571021233472</v>
      </c>
      <c r="BO67" s="26">
        <v>3.206668850998684</v>
      </c>
      <c r="BP67" s="26">
        <v>12.564315138755846</v>
      </c>
      <c r="BQ67" s="26">
        <v>0</v>
      </c>
      <c r="BR67" s="26">
        <v>0</v>
      </c>
      <c r="BS67" s="26">
        <v>0</v>
      </c>
      <c r="BT67" s="26">
        <v>0</v>
      </c>
      <c r="BU67" s="26">
        <v>0</v>
      </c>
      <c r="BV67" s="26">
        <v>148.51496552329482</v>
      </c>
      <c r="BW67" s="26">
        <v>0</v>
      </c>
      <c r="BX67" s="26">
        <v>0</v>
      </c>
      <c r="BY67" s="26">
        <v>0</v>
      </c>
      <c r="BZ67" s="26">
        <v>0</v>
      </c>
      <c r="CA67" s="26">
        <v>0</v>
      </c>
      <c r="CB67" s="26">
        <v>207.73052053428282</v>
      </c>
      <c r="CC67" s="26">
        <v>0</v>
      </c>
      <c r="CD67" s="30">
        <v>9999</v>
      </c>
      <c r="CE67" s="26">
        <v>-143.66876563424663</v>
      </c>
      <c r="CF67" s="26">
        <v>0.79934792257146225</v>
      </c>
      <c r="CG67" s="26">
        <v>5.1507119769338069E-2</v>
      </c>
      <c r="CH67" s="26">
        <v>0.85085504234080034</v>
      </c>
      <c r="CI67" s="26">
        <v>3.9967021651833898E-2</v>
      </c>
      <c r="CJ67" s="26">
        <v>2.5753559884669056E-3</v>
      </c>
      <c r="CK67" s="26">
        <v>4.2542377640300805E-2</v>
      </c>
      <c r="CL67" s="26"/>
      <c r="CM67" s="26">
        <v>0.44023179290032571</v>
      </c>
      <c r="CN67" s="26"/>
      <c r="CO67" s="26">
        <v>0</v>
      </c>
      <c r="CP67" s="26">
        <v>0</v>
      </c>
      <c r="CQ67" s="26">
        <v>3.206668850998684</v>
      </c>
      <c r="CR67" s="26">
        <v>0</v>
      </c>
      <c r="CS67" s="26">
        <v>0</v>
      </c>
      <c r="CT67" s="26">
        <v>3.206668850998684</v>
      </c>
      <c r="CU67" s="26">
        <v>0</v>
      </c>
      <c r="CV67" s="26">
        <v>0</v>
      </c>
      <c r="CW67" s="30">
        <v>9999</v>
      </c>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t="s">
        <v>625</v>
      </c>
      <c r="B68" s="7"/>
      <c r="C68" s="26">
        <v>10</v>
      </c>
      <c r="D68" s="26">
        <v>81.478213955306387</v>
      </c>
      <c r="E68" s="26">
        <v>0.45369073477034982</v>
      </c>
      <c r="F68" s="26">
        <v>0</v>
      </c>
      <c r="G68" s="26">
        <v>0</v>
      </c>
      <c r="H68" s="26">
        <v>0</v>
      </c>
      <c r="I68" s="26"/>
      <c r="J68" s="26"/>
      <c r="K68" s="26"/>
      <c r="L68" s="26">
        <v>87.580628345785399</v>
      </c>
      <c r="M68" s="26">
        <v>1.6948921418665028E-2</v>
      </c>
      <c r="N68" s="26">
        <v>1.6826591704500071E-2</v>
      </c>
      <c r="O68" s="26">
        <v>0.45822764211805334</v>
      </c>
      <c r="P68" s="26">
        <v>0</v>
      </c>
      <c r="Q68" s="26">
        <v>0</v>
      </c>
      <c r="R68" s="26">
        <v>0</v>
      </c>
      <c r="S68" s="26">
        <v>0</v>
      </c>
      <c r="T68" s="26">
        <v>0</v>
      </c>
      <c r="U68" s="26">
        <v>0</v>
      </c>
      <c r="V68" s="26">
        <v>0</v>
      </c>
      <c r="W68" s="26">
        <v>0</v>
      </c>
      <c r="X68" s="26">
        <v>0</v>
      </c>
      <c r="Y68" s="26">
        <v>0</v>
      </c>
      <c r="Z68" s="26">
        <v>0</v>
      </c>
      <c r="AA68" s="26">
        <v>0</v>
      </c>
      <c r="AB68" s="26">
        <v>0</v>
      </c>
      <c r="AC68" s="26">
        <v>0</v>
      </c>
      <c r="AD68" s="26">
        <v>0</v>
      </c>
      <c r="AE68" s="26">
        <v>0</v>
      </c>
      <c r="AF68" s="26">
        <v>0</v>
      </c>
      <c r="AG68" s="26">
        <v>0</v>
      </c>
      <c r="AH68" s="26">
        <v>0</v>
      </c>
      <c r="AI68" s="26">
        <v>0</v>
      </c>
      <c r="AJ68" s="26">
        <v>0</v>
      </c>
      <c r="AK68" s="26">
        <v>0</v>
      </c>
      <c r="AL68" s="26">
        <v>0</v>
      </c>
      <c r="AM68" s="26">
        <v>45.220503523236978</v>
      </c>
      <c r="AN68" s="26">
        <v>5.988875705146631</v>
      </c>
      <c r="AO68" s="26">
        <v>0</v>
      </c>
      <c r="AP68" s="26">
        <v>0</v>
      </c>
      <c r="AQ68" s="26">
        <v>51.209379228383611</v>
      </c>
      <c r="AR68" s="26">
        <v>0</v>
      </c>
      <c r="AS68" s="30">
        <v>9999</v>
      </c>
      <c r="AT68" s="26">
        <v>45.220503523236978</v>
      </c>
      <c r="AU68" s="26">
        <v>7.089045048668142</v>
      </c>
      <c r="AV68" s="26">
        <v>0</v>
      </c>
      <c r="AW68" s="26">
        <v>0</v>
      </c>
      <c r="AX68" s="26">
        <v>52.309548571905118</v>
      </c>
      <c r="AY68" s="26">
        <v>0</v>
      </c>
      <c r="AZ68" s="30">
        <v>9999</v>
      </c>
      <c r="BA68" s="26">
        <v>45.220503523236978</v>
      </c>
      <c r="BB68" s="26">
        <v>13.077920753814773</v>
      </c>
      <c r="BC68" s="26">
        <v>0</v>
      </c>
      <c r="BD68" s="26">
        <v>0</v>
      </c>
      <c r="BE68" s="26">
        <v>58.298424277051751</v>
      </c>
      <c r="BF68" s="26">
        <v>0</v>
      </c>
      <c r="BG68" s="26">
        <v>-10.987547336671971</v>
      </c>
      <c r="BH68" s="30">
        <v>9999</v>
      </c>
      <c r="BI68" s="26">
        <v>0</v>
      </c>
      <c r="BJ68" s="26">
        <v>0</v>
      </c>
      <c r="BK68" s="26">
        <v>0</v>
      </c>
      <c r="BL68" s="26">
        <v>0</v>
      </c>
      <c r="BM68" s="26">
        <v>0</v>
      </c>
      <c r="BN68" s="26">
        <v>45.220503523236978</v>
      </c>
      <c r="BO68" s="26">
        <v>3.3377514535376176</v>
      </c>
      <c r="BP68" s="26">
        <v>13.077920753814773</v>
      </c>
      <c r="BQ68" s="26">
        <v>0</v>
      </c>
      <c r="BR68" s="26">
        <v>0</v>
      </c>
      <c r="BS68" s="26">
        <v>0</v>
      </c>
      <c r="BT68" s="26">
        <v>0</v>
      </c>
      <c r="BU68" s="26">
        <v>0</v>
      </c>
      <c r="BV68" s="26">
        <v>148.51496552329442</v>
      </c>
      <c r="BW68" s="26">
        <v>0</v>
      </c>
      <c r="BX68" s="26">
        <v>0</v>
      </c>
      <c r="BY68" s="26">
        <v>0</v>
      </c>
      <c r="BZ68" s="26">
        <v>0</v>
      </c>
      <c r="CA68" s="26">
        <v>0</v>
      </c>
      <c r="CB68" s="26">
        <v>210.15114125388376</v>
      </c>
      <c r="CC68" s="26">
        <v>0</v>
      </c>
      <c r="CD68" s="30">
        <v>9999</v>
      </c>
      <c r="CE68" s="26">
        <v>-138.56814270757619</v>
      </c>
      <c r="CF68" s="26">
        <v>0.83202376497786579</v>
      </c>
      <c r="CG68" s="26">
        <v>5.3612634127812177E-2</v>
      </c>
      <c r="CH68" s="26">
        <v>0.88563639910567793</v>
      </c>
      <c r="CI68" s="26">
        <v>4.1600798464248058E-2</v>
      </c>
      <c r="CJ68" s="26">
        <v>2.680631706390612E-3</v>
      </c>
      <c r="CK68" s="26">
        <v>4.4281430170638666E-2</v>
      </c>
      <c r="CL68" s="26"/>
      <c r="CM68" s="26">
        <v>0.45822764211805334</v>
      </c>
      <c r="CN68" s="26"/>
      <c r="CO68" s="26">
        <v>0</v>
      </c>
      <c r="CP68" s="26">
        <v>0</v>
      </c>
      <c r="CQ68" s="26">
        <v>3.3377514535376176</v>
      </c>
      <c r="CR68" s="26">
        <v>0</v>
      </c>
      <c r="CS68" s="26">
        <v>0</v>
      </c>
      <c r="CT68" s="26">
        <v>3.3377514535376176</v>
      </c>
      <c r="CU68" s="26">
        <v>0</v>
      </c>
      <c r="CV68" s="26">
        <v>0</v>
      </c>
      <c r="CW68" s="30">
        <v>9999</v>
      </c>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t="s">
        <v>614</v>
      </c>
      <c r="B69" s="7"/>
      <c r="C69" s="26">
        <v>10</v>
      </c>
      <c r="D69" s="26">
        <v>173.82332928542399</v>
      </c>
      <c r="E69" s="26">
        <v>0</v>
      </c>
      <c r="F69" s="26">
        <v>25.872</v>
      </c>
      <c r="G69" s="26">
        <v>0</v>
      </c>
      <c r="H69" s="26">
        <v>0</v>
      </c>
      <c r="I69" s="26"/>
      <c r="J69" s="26"/>
      <c r="K69" s="26"/>
      <c r="L69" s="26">
        <v>186.98267334641028</v>
      </c>
      <c r="M69" s="26">
        <v>3.9445477611198661E-2</v>
      </c>
      <c r="N69" s="26">
        <v>3.9160777842872148E-2</v>
      </c>
      <c r="O69" s="26">
        <v>0</v>
      </c>
      <c r="P69" s="26">
        <v>0</v>
      </c>
      <c r="Q69" s="26">
        <v>0</v>
      </c>
      <c r="R69" s="26">
        <v>5.1592224111681997</v>
      </c>
      <c r="S69" s="26">
        <v>11.922178278910664</v>
      </c>
      <c r="T69" s="26">
        <v>0</v>
      </c>
      <c r="U69" s="26">
        <v>27.012223959389452</v>
      </c>
      <c r="V69" s="26">
        <v>1.5523199999999999</v>
      </c>
      <c r="W69" s="26">
        <v>3.62208</v>
      </c>
      <c r="X69" s="26">
        <v>0</v>
      </c>
      <c r="Y69" s="26">
        <v>0</v>
      </c>
      <c r="Z69" s="26">
        <v>0</v>
      </c>
      <c r="AA69" s="26">
        <v>0</v>
      </c>
      <c r="AB69" s="26">
        <v>0</v>
      </c>
      <c r="AC69" s="26">
        <v>0</v>
      </c>
      <c r="AD69" s="26">
        <v>0</v>
      </c>
      <c r="AE69" s="26">
        <v>0</v>
      </c>
      <c r="AF69" s="26">
        <v>0</v>
      </c>
      <c r="AG69" s="26">
        <v>0</v>
      </c>
      <c r="AH69" s="26">
        <v>6.7115424111681996</v>
      </c>
      <c r="AI69" s="26">
        <v>15.544258278910664</v>
      </c>
      <c r="AJ69" s="26">
        <v>0</v>
      </c>
      <c r="AK69" s="26">
        <v>27.012223959389452</v>
      </c>
      <c r="AL69" s="26">
        <v>49.268024649468316</v>
      </c>
      <c r="AM69" s="26">
        <v>96.899398156776385</v>
      </c>
      <c r="AN69" s="26">
        <v>13.937999752801961</v>
      </c>
      <c r="AO69" s="26">
        <v>0</v>
      </c>
      <c r="AP69" s="26">
        <v>0</v>
      </c>
      <c r="AQ69" s="26">
        <v>110.83739790957834</v>
      </c>
      <c r="AR69" s="26">
        <v>6.7115424111681996</v>
      </c>
      <c r="AS69" s="30">
        <v>16.514444984381196</v>
      </c>
      <c r="AT69" s="26">
        <v>96.899398156776385</v>
      </c>
      <c r="AU69" s="26">
        <v>16.498440275029775</v>
      </c>
      <c r="AV69" s="26">
        <v>0</v>
      </c>
      <c r="AW69" s="26">
        <v>0</v>
      </c>
      <c r="AX69" s="26">
        <v>113.39783843180616</v>
      </c>
      <c r="AY69" s="26">
        <v>15.544258278910664</v>
      </c>
      <c r="AZ69" s="30">
        <v>7.295159176919765</v>
      </c>
      <c r="BA69" s="26">
        <v>96.899398156776385</v>
      </c>
      <c r="BB69" s="26">
        <v>30.436440027831736</v>
      </c>
      <c r="BC69" s="26">
        <v>0</v>
      </c>
      <c r="BD69" s="26">
        <v>0</v>
      </c>
      <c r="BE69" s="26">
        <v>127.33583818460812</v>
      </c>
      <c r="BF69" s="26">
        <v>22.255800690078864</v>
      </c>
      <c r="BG69" s="26">
        <v>-3.2192595736606369</v>
      </c>
      <c r="BH69" s="30">
        <v>5.721467403388977</v>
      </c>
      <c r="BI69" s="26">
        <v>2.6411379684558511</v>
      </c>
      <c r="BJ69" s="26">
        <v>6.1170038445408963</v>
      </c>
      <c r="BK69" s="26">
        <v>0</v>
      </c>
      <c r="BL69" s="26">
        <v>10.629897859672242</v>
      </c>
      <c r="BM69" s="26">
        <v>19.388039672668992</v>
      </c>
      <c r="BN69" s="26">
        <v>96.899398156776385</v>
      </c>
      <c r="BO69" s="26">
        <v>0</v>
      </c>
      <c r="BP69" s="26">
        <v>30.436440027831736</v>
      </c>
      <c r="BQ69" s="26">
        <v>0</v>
      </c>
      <c r="BR69" s="26">
        <v>0</v>
      </c>
      <c r="BS69" s="26">
        <v>0</v>
      </c>
      <c r="BT69" s="26">
        <v>0</v>
      </c>
      <c r="BU69" s="26">
        <v>0</v>
      </c>
      <c r="BV69" s="26">
        <v>607.99752154025202</v>
      </c>
      <c r="BW69" s="26">
        <v>0</v>
      </c>
      <c r="BX69" s="26">
        <v>44.093624649468318</v>
      </c>
      <c r="BY69" s="26">
        <v>5.1744000000000003</v>
      </c>
      <c r="BZ69" s="26">
        <v>0</v>
      </c>
      <c r="CA69" s="26">
        <v>0</v>
      </c>
      <c r="CB69" s="26">
        <v>735.3333597248602</v>
      </c>
      <c r="CC69" s="26">
        <v>49.268024649468316</v>
      </c>
      <c r="CD69" s="30">
        <v>14.92516424103875</v>
      </c>
      <c r="CE69" s="26">
        <v>-231.84961524302932</v>
      </c>
      <c r="CF69" s="26">
        <v>1.7763484831262344</v>
      </c>
      <c r="CG69" s="26">
        <v>0</v>
      </c>
      <c r="CH69" s="26">
        <v>1.7763484831262344</v>
      </c>
      <c r="CI69" s="26">
        <v>8.8816769839544868E-2</v>
      </c>
      <c r="CJ69" s="26">
        <v>0</v>
      </c>
      <c r="CK69" s="26">
        <v>8.8816769839544868E-2</v>
      </c>
      <c r="CL69" s="26"/>
      <c r="CM69" s="26">
        <v>0</v>
      </c>
      <c r="CN69" s="26"/>
      <c r="CO69" s="26">
        <v>0</v>
      </c>
      <c r="CP69" s="26">
        <v>0</v>
      </c>
      <c r="CQ69" s="26">
        <v>0</v>
      </c>
      <c r="CR69" s="26">
        <v>0</v>
      </c>
      <c r="CS69" s="26">
        <v>0</v>
      </c>
      <c r="CT69" s="26">
        <v>0</v>
      </c>
      <c r="CU69" s="26">
        <v>0</v>
      </c>
      <c r="CV69" s="26">
        <v>9999</v>
      </c>
      <c r="CW69" s="30">
        <v>9999</v>
      </c>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t="s">
        <v>615</v>
      </c>
      <c r="B70" s="7"/>
      <c r="C70" s="26">
        <v>10</v>
      </c>
      <c r="D70" s="26">
        <v>160.40314577441697</v>
      </c>
      <c r="E70" s="26">
        <v>0</v>
      </c>
      <c r="F70" s="26">
        <v>25.872</v>
      </c>
      <c r="G70" s="26">
        <v>0</v>
      </c>
      <c r="H70" s="26">
        <v>0</v>
      </c>
      <c r="I70" s="26"/>
      <c r="J70" s="26"/>
      <c r="K70" s="26"/>
      <c r="L70" s="26">
        <v>172.41674324464179</v>
      </c>
      <c r="M70" s="26">
        <v>3.3366714622985523E-2</v>
      </c>
      <c r="N70" s="26">
        <v>3.3125888639925709E-2</v>
      </c>
      <c r="O70" s="26">
        <v>0</v>
      </c>
      <c r="P70" s="26">
        <v>0</v>
      </c>
      <c r="Q70" s="26">
        <v>0</v>
      </c>
      <c r="R70" s="26">
        <v>5.1592224111681997</v>
      </c>
      <c r="S70" s="26">
        <v>11.922178278910664</v>
      </c>
      <c r="T70" s="26">
        <v>0</v>
      </c>
      <c r="U70" s="26">
        <v>27.012223959389452</v>
      </c>
      <c r="V70" s="26">
        <v>1.5523199999999999</v>
      </c>
      <c r="W70" s="26">
        <v>3.62208</v>
      </c>
      <c r="X70" s="26">
        <v>0</v>
      </c>
      <c r="Y70" s="26">
        <v>0</v>
      </c>
      <c r="Z70" s="26">
        <v>0</v>
      </c>
      <c r="AA70" s="26">
        <v>0</v>
      </c>
      <c r="AB70" s="26">
        <v>0</v>
      </c>
      <c r="AC70" s="26">
        <v>0</v>
      </c>
      <c r="AD70" s="26">
        <v>0</v>
      </c>
      <c r="AE70" s="26">
        <v>0</v>
      </c>
      <c r="AF70" s="26">
        <v>0</v>
      </c>
      <c r="AG70" s="26">
        <v>0</v>
      </c>
      <c r="AH70" s="26">
        <v>6.7115424111681996</v>
      </c>
      <c r="AI70" s="26">
        <v>15.544258278910664</v>
      </c>
      <c r="AJ70" s="26">
        <v>0</v>
      </c>
      <c r="AK70" s="26">
        <v>27.012223959389452</v>
      </c>
      <c r="AL70" s="26">
        <v>49.268024649468316</v>
      </c>
      <c r="AM70" s="26">
        <v>89.023932490826567</v>
      </c>
      <c r="AN70" s="26">
        <v>11.790078060430247</v>
      </c>
      <c r="AO70" s="26">
        <v>0</v>
      </c>
      <c r="AP70" s="26">
        <v>0</v>
      </c>
      <c r="AQ70" s="26">
        <v>100.81401055125681</v>
      </c>
      <c r="AR70" s="26">
        <v>6.7115424111681996</v>
      </c>
      <c r="AS70" s="30">
        <v>15.020989867172618</v>
      </c>
      <c r="AT70" s="26">
        <v>89.023932490826567</v>
      </c>
      <c r="AU70" s="26">
        <v>13.955940749593093</v>
      </c>
      <c r="AV70" s="26">
        <v>0</v>
      </c>
      <c r="AW70" s="26">
        <v>0</v>
      </c>
      <c r="AX70" s="26">
        <v>102.97987324041966</v>
      </c>
      <c r="AY70" s="26">
        <v>15.544258278910664</v>
      </c>
      <c r="AZ70" s="30">
        <v>6.624946098594835</v>
      </c>
      <c r="BA70" s="26">
        <v>89.023932490826567</v>
      </c>
      <c r="BB70" s="26">
        <v>25.74601881002334</v>
      </c>
      <c r="BC70" s="26">
        <v>0</v>
      </c>
      <c r="BD70" s="26">
        <v>0</v>
      </c>
      <c r="BE70" s="26">
        <v>114.76995130084991</v>
      </c>
      <c r="BF70" s="26">
        <v>22.255800690078864</v>
      </c>
      <c r="BG70" s="26">
        <v>-1.4895093913809481</v>
      </c>
      <c r="BH70" s="30">
        <v>5.1568556395282501</v>
      </c>
      <c r="BI70" s="26">
        <v>2.8642638106083669</v>
      </c>
      <c r="BJ70" s="26">
        <v>6.6337741346826622</v>
      </c>
      <c r="BK70" s="26">
        <v>0</v>
      </c>
      <c r="BL70" s="26">
        <v>11.527921719183556</v>
      </c>
      <c r="BM70" s="26">
        <v>21.025959664474584</v>
      </c>
      <c r="BN70" s="26">
        <v>89.023932490826567</v>
      </c>
      <c r="BO70" s="26">
        <v>0</v>
      </c>
      <c r="BP70" s="26">
        <v>25.74601881002334</v>
      </c>
      <c r="BQ70" s="26">
        <v>0</v>
      </c>
      <c r="BR70" s="26">
        <v>0</v>
      </c>
      <c r="BS70" s="26">
        <v>0</v>
      </c>
      <c r="BT70" s="26">
        <v>0</v>
      </c>
      <c r="BU70" s="26">
        <v>0</v>
      </c>
      <c r="BV70" s="26">
        <v>561.05653642133552</v>
      </c>
      <c r="BW70" s="26">
        <v>0</v>
      </c>
      <c r="BX70" s="26">
        <v>44.093624649468318</v>
      </c>
      <c r="BY70" s="26">
        <v>5.1744000000000003</v>
      </c>
      <c r="BZ70" s="26">
        <v>0</v>
      </c>
      <c r="CA70" s="26">
        <v>0</v>
      </c>
      <c r="CB70" s="26">
        <v>675.82648772218545</v>
      </c>
      <c r="CC70" s="26">
        <v>49.268024649468316</v>
      </c>
      <c r="CD70" s="30">
        <v>13.717344921590614</v>
      </c>
      <c r="CE70" s="26">
        <v>-229.40191815461955</v>
      </c>
      <c r="CF70" s="26">
        <v>1.6379744079163399</v>
      </c>
      <c r="CG70" s="26">
        <v>0</v>
      </c>
      <c r="CH70" s="26">
        <v>1.6379744079163399</v>
      </c>
      <c r="CI70" s="26">
        <v>8.1897953041204841E-2</v>
      </c>
      <c r="CJ70" s="26">
        <v>0</v>
      </c>
      <c r="CK70" s="26">
        <v>8.1897953041204841E-2</v>
      </c>
      <c r="CL70" s="26"/>
      <c r="CM70" s="26">
        <v>0</v>
      </c>
      <c r="CN70" s="26"/>
      <c r="CO70" s="26">
        <v>0</v>
      </c>
      <c r="CP70" s="26">
        <v>0</v>
      </c>
      <c r="CQ70" s="26">
        <v>0</v>
      </c>
      <c r="CR70" s="26">
        <v>0</v>
      </c>
      <c r="CS70" s="26">
        <v>0</v>
      </c>
      <c r="CT70" s="26">
        <v>0</v>
      </c>
      <c r="CU70" s="26">
        <v>0</v>
      </c>
      <c r="CV70" s="26">
        <v>9999</v>
      </c>
      <c r="CW70" s="30">
        <v>9999</v>
      </c>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t="s">
        <v>617</v>
      </c>
      <c r="B71" s="7"/>
      <c r="C71" s="26">
        <v>10</v>
      </c>
      <c r="D71" s="26">
        <v>88.321577464866834</v>
      </c>
      <c r="E71" s="26">
        <v>3.1967078341804047</v>
      </c>
      <c r="F71" s="26">
        <v>25.872</v>
      </c>
      <c r="G71" s="26">
        <v>0</v>
      </c>
      <c r="H71" s="26">
        <v>0</v>
      </c>
      <c r="I71" s="26"/>
      <c r="J71" s="26"/>
      <c r="K71" s="26"/>
      <c r="L71" s="26">
        <v>94.936534263098281</v>
      </c>
      <c r="M71" s="26">
        <v>1.8372463059213542E-2</v>
      </c>
      <c r="N71" s="26">
        <v>1.8239858859865211E-2</v>
      </c>
      <c r="O71" s="26">
        <v>3.2286749125222087</v>
      </c>
      <c r="P71" s="26">
        <v>0</v>
      </c>
      <c r="Q71" s="26">
        <v>0</v>
      </c>
      <c r="R71" s="26">
        <v>5.1592224111681997</v>
      </c>
      <c r="S71" s="26">
        <v>11.922178278910664</v>
      </c>
      <c r="T71" s="26">
        <v>0</v>
      </c>
      <c r="U71" s="26">
        <v>27.012223959389452</v>
      </c>
      <c r="V71" s="26">
        <v>1.5523199999999999</v>
      </c>
      <c r="W71" s="26">
        <v>3.62208</v>
      </c>
      <c r="X71" s="26">
        <v>0</v>
      </c>
      <c r="Y71" s="26">
        <v>0</v>
      </c>
      <c r="Z71" s="26">
        <v>0</v>
      </c>
      <c r="AA71" s="26">
        <v>0</v>
      </c>
      <c r="AB71" s="26">
        <v>0</v>
      </c>
      <c r="AC71" s="26">
        <v>0</v>
      </c>
      <c r="AD71" s="26">
        <v>0</v>
      </c>
      <c r="AE71" s="26">
        <v>0</v>
      </c>
      <c r="AF71" s="26">
        <v>0</v>
      </c>
      <c r="AG71" s="26">
        <v>0</v>
      </c>
      <c r="AH71" s="26">
        <v>6.7115424111681996</v>
      </c>
      <c r="AI71" s="26">
        <v>15.544258278910664</v>
      </c>
      <c r="AJ71" s="26">
        <v>0</v>
      </c>
      <c r="AK71" s="26">
        <v>27.012223959389452</v>
      </c>
      <c r="AL71" s="26">
        <v>49.268024649468316</v>
      </c>
      <c r="AM71" s="26">
        <v>49.018578231460431</v>
      </c>
      <c r="AN71" s="26">
        <v>6.4918819871249607</v>
      </c>
      <c r="AO71" s="26">
        <v>0</v>
      </c>
      <c r="AP71" s="26">
        <v>0</v>
      </c>
      <c r="AQ71" s="26">
        <v>55.510460218585393</v>
      </c>
      <c r="AR71" s="26">
        <v>6.7115424111681996</v>
      </c>
      <c r="AS71" s="30">
        <v>8.2708946495241378</v>
      </c>
      <c r="AT71" s="26">
        <v>49.018578231460431</v>
      </c>
      <c r="AU71" s="26">
        <v>7.68445466614327</v>
      </c>
      <c r="AV71" s="26">
        <v>0</v>
      </c>
      <c r="AW71" s="26">
        <v>0</v>
      </c>
      <c r="AX71" s="26">
        <v>56.703032897603698</v>
      </c>
      <c r="AY71" s="26">
        <v>15.544258278910664</v>
      </c>
      <c r="AZ71" s="30">
        <v>3.6478442316243749</v>
      </c>
      <c r="BA71" s="26">
        <v>49.018578231460431</v>
      </c>
      <c r="BB71" s="26">
        <v>14.17633665326823</v>
      </c>
      <c r="BC71" s="26">
        <v>0</v>
      </c>
      <c r="BD71" s="26">
        <v>0</v>
      </c>
      <c r="BE71" s="26">
        <v>63.194914884728661</v>
      </c>
      <c r="BF71" s="26">
        <v>22.255800690078864</v>
      </c>
      <c r="BG71" s="26">
        <v>6.2620898283287936</v>
      </c>
      <c r="BH71" s="30">
        <v>2.8394806264103334</v>
      </c>
      <c r="BI71" s="26">
        <v>5.2018650338549364</v>
      </c>
      <c r="BJ71" s="26">
        <v>12.047772131145825</v>
      </c>
      <c r="BK71" s="26">
        <v>0</v>
      </c>
      <c r="BL71" s="26">
        <v>20.936162612514718</v>
      </c>
      <c r="BM71" s="26">
        <v>38.185799777515477</v>
      </c>
      <c r="BN71" s="26">
        <v>49.018578231460431</v>
      </c>
      <c r="BO71" s="26">
        <v>23.517818201580901</v>
      </c>
      <c r="BP71" s="26">
        <v>14.17633665326823</v>
      </c>
      <c r="BQ71" s="26">
        <v>0</v>
      </c>
      <c r="BR71" s="26">
        <v>0</v>
      </c>
      <c r="BS71" s="26">
        <v>0</v>
      </c>
      <c r="BT71" s="26">
        <v>0</v>
      </c>
      <c r="BU71" s="26">
        <v>0</v>
      </c>
      <c r="BV71" s="26">
        <v>286.11648072482433</v>
      </c>
      <c r="BW71" s="26">
        <v>0</v>
      </c>
      <c r="BX71" s="26">
        <v>44.093624649468318</v>
      </c>
      <c r="BY71" s="26">
        <v>5.1744000000000003</v>
      </c>
      <c r="BZ71" s="26">
        <v>0</v>
      </c>
      <c r="CA71" s="26">
        <v>0</v>
      </c>
      <c r="CB71" s="26">
        <v>372.82921381113385</v>
      </c>
      <c r="CC71" s="26">
        <v>49.268024649468316</v>
      </c>
      <c r="CD71" s="30">
        <v>7.5673667954771009</v>
      </c>
      <c r="CE71" s="26">
        <v>-212.78769031163665</v>
      </c>
      <c r="CF71" s="26">
        <v>0.90190552595338069</v>
      </c>
      <c r="CG71" s="26">
        <v>0.37775496476509857</v>
      </c>
      <c r="CH71" s="26">
        <v>1.2796604907184792</v>
      </c>
      <c r="CI71" s="26">
        <v>4.5094853774971674E-2</v>
      </c>
      <c r="CJ71" s="26">
        <v>1.8887748238254915E-2</v>
      </c>
      <c r="CK71" s="26">
        <v>6.3982602013226586E-2</v>
      </c>
      <c r="CL71" s="26"/>
      <c r="CM71" s="26">
        <v>3.2286749125222087</v>
      </c>
      <c r="CN71" s="26"/>
      <c r="CO71" s="26">
        <v>0</v>
      </c>
      <c r="CP71" s="26">
        <v>0</v>
      </c>
      <c r="CQ71" s="26">
        <v>23.517818201580901</v>
      </c>
      <c r="CR71" s="26">
        <v>0</v>
      </c>
      <c r="CS71" s="26">
        <v>0</v>
      </c>
      <c r="CT71" s="26">
        <v>23.517818201580901</v>
      </c>
      <c r="CU71" s="26">
        <v>0</v>
      </c>
      <c r="CV71" s="26">
        <v>0</v>
      </c>
      <c r="CW71" s="30">
        <v>9999</v>
      </c>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t="s">
        <v>619</v>
      </c>
      <c r="B72" s="7"/>
      <c r="C72" s="26">
        <v>10</v>
      </c>
      <c r="D72" s="26">
        <v>131.26057966973667</v>
      </c>
      <c r="E72" s="26">
        <v>0.73089119098033972</v>
      </c>
      <c r="F72" s="26">
        <v>25.872</v>
      </c>
      <c r="G72" s="26">
        <v>0</v>
      </c>
      <c r="H72" s="26">
        <v>0</v>
      </c>
      <c r="I72" s="26"/>
      <c r="J72" s="26"/>
      <c r="K72" s="26"/>
      <c r="L72" s="26">
        <v>141.19769879304073</v>
      </c>
      <c r="M72" s="26">
        <v>2.9786774179740256E-2</v>
      </c>
      <c r="N72" s="26">
        <v>2.9571786601398486E-2</v>
      </c>
      <c r="O72" s="26">
        <v>0.73820010289014315</v>
      </c>
      <c r="P72" s="26">
        <v>0</v>
      </c>
      <c r="Q72" s="26">
        <v>0</v>
      </c>
      <c r="R72" s="26">
        <v>5.1592224111681997</v>
      </c>
      <c r="S72" s="26">
        <v>11.922178278910664</v>
      </c>
      <c r="T72" s="26">
        <v>0</v>
      </c>
      <c r="U72" s="26">
        <v>27.012223959389452</v>
      </c>
      <c r="V72" s="26">
        <v>1.5523199999999999</v>
      </c>
      <c r="W72" s="26">
        <v>3.62208</v>
      </c>
      <c r="X72" s="26">
        <v>0</v>
      </c>
      <c r="Y72" s="26">
        <v>0</v>
      </c>
      <c r="Z72" s="26">
        <v>0</v>
      </c>
      <c r="AA72" s="26">
        <v>0</v>
      </c>
      <c r="AB72" s="26">
        <v>0</v>
      </c>
      <c r="AC72" s="26">
        <v>0</v>
      </c>
      <c r="AD72" s="26">
        <v>0</v>
      </c>
      <c r="AE72" s="26">
        <v>0</v>
      </c>
      <c r="AF72" s="26">
        <v>0</v>
      </c>
      <c r="AG72" s="26">
        <v>0</v>
      </c>
      <c r="AH72" s="26">
        <v>6.7115424111681996</v>
      </c>
      <c r="AI72" s="26">
        <v>15.544258278910664</v>
      </c>
      <c r="AJ72" s="26">
        <v>0</v>
      </c>
      <c r="AK72" s="26">
        <v>27.012223959389452</v>
      </c>
      <c r="AL72" s="26">
        <v>49.268024649468316</v>
      </c>
      <c r="AM72" s="26">
        <v>73.172405706382108</v>
      </c>
      <c r="AN72" s="26">
        <v>10.525111528529706</v>
      </c>
      <c r="AO72" s="26">
        <v>0</v>
      </c>
      <c r="AP72" s="26">
        <v>0</v>
      </c>
      <c r="AQ72" s="26">
        <v>83.697517234911814</v>
      </c>
      <c r="AR72" s="26">
        <v>6.7115424111681996</v>
      </c>
      <c r="AS72" s="30">
        <v>12.470682908244271</v>
      </c>
      <c r="AT72" s="26">
        <v>73.172405706382108</v>
      </c>
      <c r="AU72" s="26">
        <v>12.458597146019194</v>
      </c>
      <c r="AV72" s="26">
        <v>0</v>
      </c>
      <c r="AW72" s="26">
        <v>0</v>
      </c>
      <c r="AX72" s="26">
        <v>85.631002852401309</v>
      </c>
      <c r="AY72" s="26">
        <v>15.544258278910664</v>
      </c>
      <c r="AZ72" s="30">
        <v>5.508851005684801</v>
      </c>
      <c r="BA72" s="26">
        <v>73.172405706382108</v>
      </c>
      <c r="BB72" s="26">
        <v>22.9837086745489</v>
      </c>
      <c r="BC72" s="26">
        <v>0</v>
      </c>
      <c r="BD72" s="26">
        <v>0</v>
      </c>
      <c r="BE72" s="26">
        <v>96.156114380931015</v>
      </c>
      <c r="BF72" s="26">
        <v>22.255800690078864</v>
      </c>
      <c r="BG72" s="26">
        <v>-0.37933156158583631</v>
      </c>
      <c r="BH72" s="30">
        <v>4.3204967423973768</v>
      </c>
      <c r="BI72" s="26">
        <v>3.4975572706920244</v>
      </c>
      <c r="BJ72" s="26">
        <v>8.1005125543795344</v>
      </c>
      <c r="BK72" s="26">
        <v>0</v>
      </c>
      <c r="BL72" s="26">
        <v>14.076764254593963</v>
      </c>
      <c r="BM72" s="26">
        <v>25.674834079665523</v>
      </c>
      <c r="BN72" s="26">
        <v>73.172405706382108</v>
      </c>
      <c r="BO72" s="26">
        <v>5.3770838769879603</v>
      </c>
      <c r="BP72" s="26">
        <v>22.9837086745489</v>
      </c>
      <c r="BQ72" s="26">
        <v>0</v>
      </c>
      <c r="BR72" s="26">
        <v>0</v>
      </c>
      <c r="BS72" s="26">
        <v>0</v>
      </c>
      <c r="BT72" s="26">
        <v>0</v>
      </c>
      <c r="BU72" s="26">
        <v>0</v>
      </c>
      <c r="BV72" s="26">
        <v>264.02660537474628</v>
      </c>
      <c r="BW72" s="26">
        <v>0</v>
      </c>
      <c r="BX72" s="26">
        <v>44.093624649468318</v>
      </c>
      <c r="BY72" s="26">
        <v>5.1744000000000003</v>
      </c>
      <c r="BZ72" s="26">
        <v>0</v>
      </c>
      <c r="CA72" s="26">
        <v>0</v>
      </c>
      <c r="CB72" s="26">
        <v>365.55980363266525</v>
      </c>
      <c r="CC72" s="26">
        <v>49.268024649468316</v>
      </c>
      <c r="CD72" s="30">
        <v>7.4198185584574734</v>
      </c>
      <c r="CE72" s="26">
        <v>-126.69575479929152</v>
      </c>
      <c r="CF72" s="26">
        <v>1.3413880205213553</v>
      </c>
      <c r="CG72" s="26">
        <v>8.6369412038146839E-2</v>
      </c>
      <c r="CH72" s="26">
        <v>1.4277574325595022</v>
      </c>
      <c r="CI72" s="26">
        <v>6.7068906926694358E-2</v>
      </c>
      <c r="CJ72" s="26">
        <v>4.3184706019073369E-3</v>
      </c>
      <c r="CK72" s="26">
        <v>7.1387377528601692E-2</v>
      </c>
      <c r="CL72" s="26"/>
      <c r="CM72" s="26">
        <v>0.73820010289014315</v>
      </c>
      <c r="CN72" s="26"/>
      <c r="CO72" s="26">
        <v>0</v>
      </c>
      <c r="CP72" s="26">
        <v>0</v>
      </c>
      <c r="CQ72" s="26">
        <v>5.3770838769879603</v>
      </c>
      <c r="CR72" s="26">
        <v>0</v>
      </c>
      <c r="CS72" s="26">
        <v>0</v>
      </c>
      <c r="CT72" s="26">
        <v>5.3770838769879603</v>
      </c>
      <c r="CU72" s="26">
        <v>0</v>
      </c>
      <c r="CV72" s="26">
        <v>0</v>
      </c>
      <c r="CW72" s="30">
        <v>9999</v>
      </c>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t="s">
        <v>618</v>
      </c>
      <c r="B73" s="7"/>
      <c r="C73" s="26">
        <v>10</v>
      </c>
      <c r="D73" s="26">
        <v>106.9572044235664</v>
      </c>
      <c r="E73" s="26">
        <v>0.26695196724510795</v>
      </c>
      <c r="F73" s="26">
        <v>25.872</v>
      </c>
      <c r="G73" s="26">
        <v>0</v>
      </c>
      <c r="H73" s="26">
        <v>0</v>
      </c>
      <c r="I73" s="26"/>
      <c r="J73" s="26"/>
      <c r="K73" s="26"/>
      <c r="L73" s="26">
        <v>114.9679001881766</v>
      </c>
      <c r="M73" s="26">
        <v>2.2249005776311039E-2</v>
      </c>
      <c r="N73" s="26">
        <v>2.2088422430041384E-2</v>
      </c>
      <c r="O73" s="26">
        <v>0.26962148691755905</v>
      </c>
      <c r="P73" s="26">
        <v>0</v>
      </c>
      <c r="Q73" s="26">
        <v>0</v>
      </c>
      <c r="R73" s="26">
        <v>5.1592224111681997</v>
      </c>
      <c r="S73" s="26">
        <v>11.922178278910664</v>
      </c>
      <c r="T73" s="26">
        <v>0</v>
      </c>
      <c r="U73" s="26">
        <v>27.012223959389452</v>
      </c>
      <c r="V73" s="26">
        <v>1.5523199999999999</v>
      </c>
      <c r="W73" s="26">
        <v>3.62208</v>
      </c>
      <c r="X73" s="26">
        <v>0</v>
      </c>
      <c r="Y73" s="26">
        <v>0</v>
      </c>
      <c r="Z73" s="26">
        <v>0</v>
      </c>
      <c r="AA73" s="26">
        <v>0</v>
      </c>
      <c r="AB73" s="26">
        <v>0</v>
      </c>
      <c r="AC73" s="26">
        <v>0</v>
      </c>
      <c r="AD73" s="26">
        <v>0</v>
      </c>
      <c r="AE73" s="26">
        <v>0</v>
      </c>
      <c r="AF73" s="26">
        <v>0</v>
      </c>
      <c r="AG73" s="26">
        <v>0</v>
      </c>
      <c r="AH73" s="26">
        <v>6.7115424111681996</v>
      </c>
      <c r="AI73" s="26">
        <v>15.544258278910664</v>
      </c>
      <c r="AJ73" s="26">
        <v>0</v>
      </c>
      <c r="AK73" s="26">
        <v>27.012223959389452</v>
      </c>
      <c r="AL73" s="26">
        <v>49.268024649468316</v>
      </c>
      <c r="AM73" s="26">
        <v>59.361372871090822</v>
      </c>
      <c r="AN73" s="26">
        <v>7.8616524831295891</v>
      </c>
      <c r="AO73" s="26">
        <v>0</v>
      </c>
      <c r="AP73" s="26">
        <v>0</v>
      </c>
      <c r="AQ73" s="26">
        <v>67.223025354220411</v>
      </c>
      <c r="AR73" s="26">
        <v>6.7115424111681996</v>
      </c>
      <c r="AS73" s="30">
        <v>10.016032267390482</v>
      </c>
      <c r="AT73" s="26">
        <v>59.361372871090822</v>
      </c>
      <c r="AU73" s="26">
        <v>9.3058549473627643</v>
      </c>
      <c r="AV73" s="26">
        <v>0</v>
      </c>
      <c r="AW73" s="26">
        <v>0</v>
      </c>
      <c r="AX73" s="26">
        <v>68.667227818453583</v>
      </c>
      <c r="AY73" s="26">
        <v>15.544258278910664</v>
      </c>
      <c r="AZ73" s="30">
        <v>4.4175300349722288</v>
      </c>
      <c r="BA73" s="26">
        <v>59.361372871090822</v>
      </c>
      <c r="BB73" s="26">
        <v>17.167507430492353</v>
      </c>
      <c r="BC73" s="26">
        <v>0</v>
      </c>
      <c r="BD73" s="26">
        <v>0</v>
      </c>
      <c r="BE73" s="26">
        <v>76.528880301583172</v>
      </c>
      <c r="BF73" s="26">
        <v>22.255800690078864</v>
      </c>
      <c r="BG73" s="26">
        <v>3.2566092240783928</v>
      </c>
      <c r="BH73" s="30">
        <v>3.4386037764841246</v>
      </c>
      <c r="BI73" s="26">
        <v>4.2955210733627869</v>
      </c>
      <c r="BJ73" s="26">
        <v>9.9486354873875751</v>
      </c>
      <c r="BK73" s="26">
        <v>0</v>
      </c>
      <c r="BL73" s="26">
        <v>17.288362368517955</v>
      </c>
      <c r="BM73" s="26">
        <v>31.532518929268317</v>
      </c>
      <c r="BN73" s="26">
        <v>59.361372871090822</v>
      </c>
      <c r="BO73" s="26">
        <v>1.9639354485563929</v>
      </c>
      <c r="BP73" s="26">
        <v>17.167507430492353</v>
      </c>
      <c r="BQ73" s="26">
        <v>0</v>
      </c>
      <c r="BR73" s="26">
        <v>0</v>
      </c>
      <c r="BS73" s="26">
        <v>0</v>
      </c>
      <c r="BT73" s="26">
        <v>0</v>
      </c>
      <c r="BU73" s="26">
        <v>0</v>
      </c>
      <c r="BV73" s="26">
        <v>201.96457462928814</v>
      </c>
      <c r="BW73" s="26">
        <v>0</v>
      </c>
      <c r="BX73" s="26">
        <v>44.093624649468318</v>
      </c>
      <c r="BY73" s="26">
        <v>5.1744000000000003</v>
      </c>
      <c r="BZ73" s="26">
        <v>0</v>
      </c>
      <c r="CA73" s="26">
        <v>0</v>
      </c>
      <c r="CB73" s="26">
        <v>280.45739037942769</v>
      </c>
      <c r="CC73" s="26">
        <v>49.268024649468316</v>
      </c>
      <c r="CD73" s="30">
        <v>5.6924829516674018</v>
      </c>
      <c r="CE73" s="26">
        <v>-109.97334429276586</v>
      </c>
      <c r="CF73" s="26">
        <v>1.0922052852657953</v>
      </c>
      <c r="CG73" s="26">
        <v>3.1545713969354433E-2</v>
      </c>
      <c r="CH73" s="26">
        <v>1.1237509992351498</v>
      </c>
      <c r="CI73" s="26">
        <v>5.4609752589383893E-2</v>
      </c>
      <c r="CJ73" s="26">
        <v>1.5772856984677204E-3</v>
      </c>
      <c r="CK73" s="26">
        <v>5.6187038287851612E-2</v>
      </c>
      <c r="CL73" s="26"/>
      <c r="CM73" s="26">
        <v>0.26962148691755905</v>
      </c>
      <c r="CN73" s="26"/>
      <c r="CO73" s="26">
        <v>0</v>
      </c>
      <c r="CP73" s="26">
        <v>0</v>
      </c>
      <c r="CQ73" s="26">
        <v>1.9639354485563929</v>
      </c>
      <c r="CR73" s="26">
        <v>0</v>
      </c>
      <c r="CS73" s="26">
        <v>0</v>
      </c>
      <c r="CT73" s="26">
        <v>1.9639354485563929</v>
      </c>
      <c r="CU73" s="26">
        <v>0</v>
      </c>
      <c r="CV73" s="26">
        <v>0</v>
      </c>
      <c r="CW73" s="30">
        <v>9999</v>
      </c>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ht="13.5" thickBot="1">
      <c r="A76" s="24" t="s">
        <v>533</v>
      </c>
      <c r="B76" s="25"/>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ht="13.5" thickBot="1">
      <c r="A77" s="272" t="s">
        <v>534</v>
      </c>
      <c r="B77" s="273"/>
      <c r="C77" s="274"/>
      <c r="D77" s="274"/>
      <c r="E77" s="274"/>
      <c r="F77" s="274"/>
      <c r="G77" s="274"/>
      <c r="H77" s="274"/>
      <c r="I77" s="274"/>
      <c r="J77" s="274"/>
      <c r="K77" s="274"/>
      <c r="L77" s="31"/>
      <c r="M77" s="275"/>
      <c r="N77" s="276" t="s">
        <v>590</v>
      </c>
      <c r="O77" s="274"/>
      <c r="P77" s="274"/>
      <c r="Q77" s="274"/>
      <c r="R77" s="274"/>
      <c r="S77" s="274"/>
      <c r="T77" s="274"/>
      <c r="U77" s="274"/>
      <c r="V77" s="274"/>
      <c r="W77" s="274"/>
      <c r="X77" s="274"/>
      <c r="Y77" s="31"/>
      <c r="Z77" s="275"/>
      <c r="AA77" s="276" t="s">
        <v>591</v>
      </c>
      <c r="AB77" s="274"/>
      <c r="AC77" s="274"/>
      <c r="AD77" s="274"/>
      <c r="AE77" s="274"/>
      <c r="AF77" s="274"/>
      <c r="AG77" s="274"/>
      <c r="AH77" s="274"/>
      <c r="AI77" s="274"/>
      <c r="AJ77" s="274"/>
      <c r="AK77" s="274"/>
      <c r="AL77" s="31"/>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ht="191.25">
      <c r="A78" s="27"/>
      <c r="B78" s="28" t="s">
        <v>535</v>
      </c>
      <c r="C78" s="29" t="s">
        <v>536</v>
      </c>
      <c r="D78" s="29" t="s">
        <v>25</v>
      </c>
      <c r="E78" s="29" t="s">
        <v>26</v>
      </c>
      <c r="F78" s="29" t="s">
        <v>27</v>
      </c>
      <c r="G78" s="29" t="s">
        <v>28</v>
      </c>
      <c r="H78" s="29" t="s">
        <v>29</v>
      </c>
      <c r="I78" s="29" t="s">
        <v>30</v>
      </c>
      <c r="J78" s="29" t="s">
        <v>31</v>
      </c>
      <c r="K78" s="29" t="s">
        <v>24</v>
      </c>
      <c r="L78" s="29" t="s">
        <v>23</v>
      </c>
      <c r="M78" s="29" t="s">
        <v>32</v>
      </c>
      <c r="N78" s="29" t="s">
        <v>33</v>
      </c>
      <c r="O78" s="29" t="s">
        <v>34</v>
      </c>
      <c r="P78" s="29" t="s">
        <v>35</v>
      </c>
      <c r="Q78" s="29" t="s">
        <v>36</v>
      </c>
      <c r="R78" s="29" t="s">
        <v>37</v>
      </c>
      <c r="S78" s="29" t="s">
        <v>38</v>
      </c>
      <c r="T78" s="29" t="s">
        <v>39</v>
      </c>
      <c r="U78" s="29" t="s">
        <v>40</v>
      </c>
      <c r="V78" s="29" t="s">
        <v>41</v>
      </c>
      <c r="W78" s="29" t="s">
        <v>42</v>
      </c>
      <c r="X78" s="29" t="s">
        <v>43</v>
      </c>
      <c r="Y78" s="29" t="s">
        <v>44</v>
      </c>
      <c r="Z78" s="29"/>
      <c r="AA78" s="29" t="s">
        <v>33</v>
      </c>
      <c r="AB78" s="29" t="s">
        <v>34</v>
      </c>
      <c r="AC78" s="29" t="s">
        <v>35</v>
      </c>
      <c r="AD78" s="29" t="s">
        <v>36</v>
      </c>
      <c r="AE78" s="29" t="s">
        <v>37</v>
      </c>
      <c r="AF78" s="29" t="s">
        <v>38</v>
      </c>
      <c r="AG78" s="29" t="s">
        <v>39</v>
      </c>
      <c r="AH78" s="29" t="s">
        <v>40</v>
      </c>
      <c r="AI78" s="29" t="s">
        <v>41</v>
      </c>
      <c r="AJ78" s="29" t="s">
        <v>42</v>
      </c>
      <c r="AK78" s="29" t="s">
        <v>43</v>
      </c>
      <c r="AL78" s="29" t="s">
        <v>44</v>
      </c>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c r="B79" s="40" t="s">
        <v>537</v>
      </c>
      <c r="C79" s="277">
        <v>1137.6968517128423</v>
      </c>
      <c r="D79" s="277">
        <v>129.36000000000001</v>
      </c>
      <c r="E79" s="277">
        <v>0</v>
      </c>
      <c r="F79" s="277">
        <v>129.36000000000001</v>
      </c>
      <c r="G79" s="277">
        <v>220.46812324734159</v>
      </c>
      <c r="H79" s="277">
        <v>3598.0499027350857</v>
      </c>
      <c r="I79" s="277">
        <v>996.04178239039481</v>
      </c>
      <c r="J79" s="277">
        <v>-5.7492924142442634</v>
      </c>
      <c r="K79" s="277">
        <v>-180.41596303019031</v>
      </c>
      <c r="L79" s="30">
        <v>3761.97867499622</v>
      </c>
      <c r="M79" s="26">
        <v>11.907162648673678</v>
      </c>
      <c r="N79" s="32">
        <v>79.03144438665079</v>
      </c>
      <c r="O79" s="32">
        <v>70.937425332057103</v>
      </c>
      <c r="P79" s="32">
        <v>80.888934933703339</v>
      </c>
      <c r="Q79" s="32">
        <v>68.027120485058617</v>
      </c>
      <c r="R79" s="32">
        <v>62.400432375564904</v>
      </c>
      <c r="S79" s="32">
        <v>58.672162374244465</v>
      </c>
      <c r="T79" s="32">
        <v>49.763645813117513</v>
      </c>
      <c r="U79" s="32">
        <v>51.730924577563606</v>
      </c>
      <c r="V79" s="32">
        <v>49.209101864199027</v>
      </c>
      <c r="W79" s="32">
        <v>61.056722810151584</v>
      </c>
      <c r="X79" s="32">
        <v>63.923749542255173</v>
      </c>
      <c r="Y79" s="32">
        <v>77.978196206251567</v>
      </c>
      <c r="Z79" s="32"/>
      <c r="AA79" s="32">
        <v>40.269486935100758</v>
      </c>
      <c r="AB79" s="32">
        <v>33.791746359982966</v>
      </c>
      <c r="AC79" s="32">
        <v>31.83032534630474</v>
      </c>
      <c r="AD79" s="32">
        <v>31.985036631825672</v>
      </c>
      <c r="AE79" s="32">
        <v>30.518950117378207</v>
      </c>
      <c r="AF79" s="32">
        <v>24.695151864834102</v>
      </c>
      <c r="AG79" s="32">
        <v>26.622994905376032</v>
      </c>
      <c r="AH79" s="32">
        <v>21.179430705204489</v>
      </c>
      <c r="AI79" s="32">
        <v>25.918053501008149</v>
      </c>
      <c r="AJ79" s="32">
        <v>24.962190027688912</v>
      </c>
      <c r="AK79" s="32">
        <v>33.256036832872041</v>
      </c>
      <c r="AL79" s="32">
        <v>39.047587784448503</v>
      </c>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40" t="s">
        <v>538</v>
      </c>
      <c r="C80" s="277">
        <v>1137.6968517128423</v>
      </c>
      <c r="D80" s="277">
        <v>129.36000000000001</v>
      </c>
      <c r="E80" s="277">
        <v>25.872</v>
      </c>
      <c r="F80" s="277">
        <v>155.23200000000003</v>
      </c>
      <c r="G80" s="277">
        <v>246.34012324734158</v>
      </c>
      <c r="H80" s="277">
        <v>3598.0499027350857</v>
      </c>
      <c r="I80" s="277">
        <v>1195.2501388684739</v>
      </c>
      <c r="J80" s="277">
        <v>-4.0759933788850748</v>
      </c>
      <c r="K80" s="277">
        <v>-178.74266399483113</v>
      </c>
      <c r="L80" s="30">
        <v>3761.1971921804866</v>
      </c>
      <c r="M80" s="26">
        <v>11.907162648673678</v>
      </c>
      <c r="N80" s="32">
        <v>15.143643559158955</v>
      </c>
      <c r="O80" s="32">
        <v>13.566157154843605</v>
      </c>
      <c r="P80" s="32">
        <v>15.606262480616191</v>
      </c>
      <c r="Q80" s="32">
        <v>13.534595674931744</v>
      </c>
      <c r="R80" s="32">
        <v>12.9096347485888</v>
      </c>
      <c r="S80" s="32">
        <v>12.586643984619757</v>
      </c>
      <c r="T80" s="32">
        <v>10.652508165569673</v>
      </c>
      <c r="U80" s="32">
        <v>11.140307207475924</v>
      </c>
      <c r="V80" s="32">
        <v>10.45123278534636</v>
      </c>
      <c r="W80" s="32">
        <v>12.617975356723367</v>
      </c>
      <c r="X80" s="32">
        <v>12.932931929112184</v>
      </c>
      <c r="Y80" s="32">
        <v>15.03684085654975</v>
      </c>
      <c r="Z80" s="32"/>
      <c r="AA80" s="32">
        <v>7.5988270851136859</v>
      </c>
      <c r="AB80" s="32">
        <v>6.3649488224435391</v>
      </c>
      <c r="AC80" s="32">
        <v>6.0769652813307715</v>
      </c>
      <c r="AD80" s="32">
        <v>6.321479773821892</v>
      </c>
      <c r="AE80" s="32">
        <v>6.3170332375930256</v>
      </c>
      <c r="AF80" s="32">
        <v>5.2375331853442342</v>
      </c>
      <c r="AG80" s="32">
        <v>5.6949878921536348</v>
      </c>
      <c r="AH80" s="32">
        <v>4.4711745904231082</v>
      </c>
      <c r="AI80" s="32">
        <v>5.5086656014733251</v>
      </c>
      <c r="AJ80" s="32">
        <v>5.1393867626293597</v>
      </c>
      <c r="AK80" s="32">
        <v>6.7305309982087627</v>
      </c>
      <c r="AL80" s="32">
        <v>7.3926707260383875</v>
      </c>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row r="81" spans="1:131">
      <c r="A81" s="7"/>
      <c r="B81" s="40" t="s">
        <v>539</v>
      </c>
      <c r="C81" s="278"/>
      <c r="D81" s="278"/>
      <c r="E81" s="278"/>
      <c r="F81" s="278"/>
      <c r="G81" s="278"/>
      <c r="H81" s="278"/>
      <c r="I81" s="278"/>
      <c r="J81" s="278"/>
      <c r="K81" s="278"/>
      <c r="L81" s="279"/>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280"/>
      <c r="AL81" s="280"/>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row>
    <row r="82" spans="1:131">
      <c r="A82" s="7"/>
      <c r="B82" s="7" t="s">
        <v>77</v>
      </c>
      <c r="C82" s="26">
        <v>1137.6968517128423</v>
      </c>
      <c r="D82" s="26">
        <v>129.36000000000001</v>
      </c>
      <c r="E82" s="26">
        <v>25.872</v>
      </c>
      <c r="F82" s="26">
        <v>155.23200000000003</v>
      </c>
      <c r="G82" s="26">
        <v>246.34012324734158</v>
      </c>
      <c r="H82" s="26">
        <v>3598.0499027350857</v>
      </c>
      <c r="I82" s="26">
        <v>1195.2501388684739</v>
      </c>
      <c r="J82" s="26">
        <v>-4.0759933788850748</v>
      </c>
      <c r="K82" s="26">
        <v>-178.74266399483113</v>
      </c>
      <c r="L82" s="30">
        <v>3761.1971921804866</v>
      </c>
      <c r="M82" s="26">
        <v>11.907162648673678</v>
      </c>
      <c r="N82" s="32">
        <v>79.03144438665079</v>
      </c>
      <c r="O82" s="32">
        <v>70.937425332057089</v>
      </c>
      <c r="P82" s="32">
        <v>80.888934933703354</v>
      </c>
      <c r="Q82" s="32">
        <v>68.027120485058617</v>
      </c>
      <c r="R82" s="32">
        <v>62.400432375564904</v>
      </c>
      <c r="S82" s="32">
        <v>58.672162374244465</v>
      </c>
      <c r="T82" s="32">
        <v>49.76364581311752</v>
      </c>
      <c r="U82" s="32">
        <v>51.730924577563606</v>
      </c>
      <c r="V82" s="32">
        <v>49.209101864199027</v>
      </c>
      <c r="W82" s="32">
        <v>61.056722810151584</v>
      </c>
      <c r="X82" s="32">
        <v>63.923749542255166</v>
      </c>
      <c r="Y82" s="32">
        <v>77.978196206251567</v>
      </c>
      <c r="Z82" s="32"/>
      <c r="AA82" s="32">
        <v>40.269486935100758</v>
      </c>
      <c r="AB82" s="32">
        <v>33.791746359982966</v>
      </c>
      <c r="AC82" s="32">
        <v>31.830325346304736</v>
      </c>
      <c r="AD82" s="32">
        <v>31.985036631825672</v>
      </c>
      <c r="AE82" s="32">
        <v>30.518950117378207</v>
      </c>
      <c r="AF82" s="32">
        <v>24.695151864834102</v>
      </c>
      <c r="AG82" s="32">
        <v>26.622994905376032</v>
      </c>
      <c r="AH82" s="32">
        <v>21.179430705204489</v>
      </c>
      <c r="AI82" s="32">
        <v>25.918053501008149</v>
      </c>
      <c r="AJ82" s="32">
        <v>24.962190027688912</v>
      </c>
      <c r="AK82" s="32">
        <v>33.256036832872041</v>
      </c>
      <c r="AL82" s="32">
        <v>39.047587784448496</v>
      </c>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row>
    <row r="83" spans="1:131">
      <c r="A83" s="7"/>
      <c r="B83" s="7" t="s">
        <v>80</v>
      </c>
      <c r="C83" s="280">
        <v>0</v>
      </c>
      <c r="D83" s="280">
        <v>0</v>
      </c>
      <c r="E83" s="280">
        <v>0</v>
      </c>
      <c r="F83" s="280">
        <v>0</v>
      </c>
      <c r="G83" s="280">
        <v>0</v>
      </c>
      <c r="H83" s="280">
        <v>0</v>
      </c>
      <c r="I83" s="280">
        <v>0</v>
      </c>
      <c r="J83" s="280">
        <v>0</v>
      </c>
      <c r="K83" s="280">
        <v>0</v>
      </c>
      <c r="L83" s="281">
        <v>0</v>
      </c>
      <c r="M83" s="280">
        <v>0</v>
      </c>
      <c r="N83" s="280">
        <v>0</v>
      </c>
      <c r="O83" s="280">
        <v>0</v>
      </c>
      <c r="P83" s="280">
        <v>0</v>
      </c>
      <c r="Q83" s="280">
        <v>0</v>
      </c>
      <c r="R83" s="280">
        <v>0</v>
      </c>
      <c r="S83" s="280">
        <v>0</v>
      </c>
      <c r="T83" s="280">
        <v>0</v>
      </c>
      <c r="U83" s="280">
        <v>0</v>
      </c>
      <c r="V83" s="280">
        <v>0</v>
      </c>
      <c r="W83" s="280">
        <v>0</v>
      </c>
      <c r="X83" s="280">
        <v>0</v>
      </c>
      <c r="Y83" s="280">
        <v>0</v>
      </c>
      <c r="Z83" s="280"/>
      <c r="AA83" s="280">
        <v>0</v>
      </c>
      <c r="AB83" s="280">
        <v>0</v>
      </c>
      <c r="AC83" s="280">
        <v>0</v>
      </c>
      <c r="AD83" s="280">
        <v>0</v>
      </c>
      <c r="AE83" s="280">
        <v>0</v>
      </c>
      <c r="AF83" s="280">
        <v>0</v>
      </c>
      <c r="AG83" s="280">
        <v>0</v>
      </c>
      <c r="AH83" s="280">
        <v>0</v>
      </c>
      <c r="AI83" s="280">
        <v>0</v>
      </c>
      <c r="AJ83" s="280">
        <v>0</v>
      </c>
      <c r="AK83" s="280">
        <v>0</v>
      </c>
      <c r="AL83" s="280">
        <v>0</v>
      </c>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row>
    <row r="84" spans="1:131">
      <c r="A84" s="7"/>
      <c r="B84" s="7" t="s">
        <v>83</v>
      </c>
      <c r="C84" s="280">
        <v>0</v>
      </c>
      <c r="D84" s="280">
        <v>0</v>
      </c>
      <c r="E84" s="280">
        <v>0</v>
      </c>
      <c r="F84" s="280">
        <v>0</v>
      </c>
      <c r="G84" s="280">
        <v>0</v>
      </c>
      <c r="H84" s="280">
        <v>0</v>
      </c>
      <c r="I84" s="280">
        <v>0</v>
      </c>
      <c r="J84" s="280">
        <v>0</v>
      </c>
      <c r="K84" s="280">
        <v>0</v>
      </c>
      <c r="L84" s="281">
        <v>0</v>
      </c>
      <c r="M84" s="280">
        <v>0</v>
      </c>
      <c r="N84" s="280">
        <v>0</v>
      </c>
      <c r="O84" s="280">
        <v>0</v>
      </c>
      <c r="P84" s="280">
        <v>0</v>
      </c>
      <c r="Q84" s="280">
        <v>0</v>
      </c>
      <c r="R84" s="280">
        <v>0</v>
      </c>
      <c r="S84" s="280">
        <v>0</v>
      </c>
      <c r="T84" s="280">
        <v>0</v>
      </c>
      <c r="U84" s="280">
        <v>0</v>
      </c>
      <c r="V84" s="280">
        <v>0</v>
      </c>
      <c r="W84" s="280">
        <v>0</v>
      </c>
      <c r="X84" s="280">
        <v>0</v>
      </c>
      <c r="Y84" s="280">
        <v>0</v>
      </c>
      <c r="Z84" s="280"/>
      <c r="AA84" s="280">
        <v>0</v>
      </c>
      <c r="AB84" s="280">
        <v>0</v>
      </c>
      <c r="AC84" s="280">
        <v>0</v>
      </c>
      <c r="AD84" s="280">
        <v>0</v>
      </c>
      <c r="AE84" s="280">
        <v>0</v>
      </c>
      <c r="AF84" s="280">
        <v>0</v>
      </c>
      <c r="AG84" s="280">
        <v>0</v>
      </c>
      <c r="AH84" s="280">
        <v>0</v>
      </c>
      <c r="AI84" s="280">
        <v>0</v>
      </c>
      <c r="AJ84" s="280">
        <v>0</v>
      </c>
      <c r="AK84" s="280">
        <v>0</v>
      </c>
      <c r="AL84" s="280">
        <v>0</v>
      </c>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row>
    <row r="85" spans="1:131">
      <c r="A85" s="7"/>
      <c r="B85" s="7" t="s">
        <v>86</v>
      </c>
      <c r="C85" s="280">
        <v>0</v>
      </c>
      <c r="D85" s="280">
        <v>0</v>
      </c>
      <c r="E85" s="280">
        <v>0</v>
      </c>
      <c r="F85" s="280">
        <v>0</v>
      </c>
      <c r="G85" s="280">
        <v>0</v>
      </c>
      <c r="H85" s="280">
        <v>0</v>
      </c>
      <c r="I85" s="280">
        <v>0</v>
      </c>
      <c r="J85" s="280">
        <v>0</v>
      </c>
      <c r="K85" s="280">
        <v>0</v>
      </c>
      <c r="L85" s="281">
        <v>0</v>
      </c>
      <c r="M85" s="280">
        <v>0</v>
      </c>
      <c r="N85" s="280">
        <v>0</v>
      </c>
      <c r="O85" s="280">
        <v>0</v>
      </c>
      <c r="P85" s="280">
        <v>0</v>
      </c>
      <c r="Q85" s="280">
        <v>0</v>
      </c>
      <c r="R85" s="280">
        <v>0</v>
      </c>
      <c r="S85" s="280">
        <v>0</v>
      </c>
      <c r="T85" s="280">
        <v>0</v>
      </c>
      <c r="U85" s="280">
        <v>0</v>
      </c>
      <c r="V85" s="280">
        <v>0</v>
      </c>
      <c r="W85" s="280">
        <v>0</v>
      </c>
      <c r="X85" s="280">
        <v>0</v>
      </c>
      <c r="Y85" s="280">
        <v>0</v>
      </c>
      <c r="Z85" s="280"/>
      <c r="AA85" s="280">
        <v>0</v>
      </c>
      <c r="AB85" s="280">
        <v>0</v>
      </c>
      <c r="AC85" s="280">
        <v>0</v>
      </c>
      <c r="AD85" s="280">
        <v>0</v>
      </c>
      <c r="AE85" s="280">
        <v>0</v>
      </c>
      <c r="AF85" s="280">
        <v>0</v>
      </c>
      <c r="AG85" s="280">
        <v>0</v>
      </c>
      <c r="AH85" s="280">
        <v>0</v>
      </c>
      <c r="AI85" s="280">
        <v>0</v>
      </c>
      <c r="AJ85" s="280">
        <v>0</v>
      </c>
      <c r="AK85" s="280">
        <v>0</v>
      </c>
      <c r="AL85" s="280">
        <v>0</v>
      </c>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row>
    <row r="86" spans="1:131">
      <c r="A86" s="7"/>
      <c r="B86" s="7" t="s">
        <v>89</v>
      </c>
      <c r="C86" s="280">
        <v>0</v>
      </c>
      <c r="D86" s="280">
        <v>0</v>
      </c>
      <c r="E86" s="280">
        <v>0</v>
      </c>
      <c r="F86" s="280">
        <v>0</v>
      </c>
      <c r="G86" s="280">
        <v>0</v>
      </c>
      <c r="H86" s="280">
        <v>0</v>
      </c>
      <c r="I86" s="280">
        <v>0</v>
      </c>
      <c r="J86" s="280">
        <v>0</v>
      </c>
      <c r="K86" s="280">
        <v>0</v>
      </c>
      <c r="L86" s="281">
        <v>0</v>
      </c>
      <c r="M86" s="280">
        <v>0</v>
      </c>
      <c r="N86" s="280">
        <v>0</v>
      </c>
      <c r="O86" s="280">
        <v>0</v>
      </c>
      <c r="P86" s="280">
        <v>0</v>
      </c>
      <c r="Q86" s="280">
        <v>0</v>
      </c>
      <c r="R86" s="280">
        <v>0</v>
      </c>
      <c r="S86" s="280">
        <v>0</v>
      </c>
      <c r="T86" s="280">
        <v>0</v>
      </c>
      <c r="U86" s="280">
        <v>0</v>
      </c>
      <c r="V86" s="280">
        <v>0</v>
      </c>
      <c r="W86" s="280">
        <v>0</v>
      </c>
      <c r="X86" s="280">
        <v>0</v>
      </c>
      <c r="Y86" s="280">
        <v>0</v>
      </c>
      <c r="Z86" s="280"/>
      <c r="AA86" s="280">
        <v>0</v>
      </c>
      <c r="AB86" s="280">
        <v>0</v>
      </c>
      <c r="AC86" s="280">
        <v>0</v>
      </c>
      <c r="AD86" s="280">
        <v>0</v>
      </c>
      <c r="AE86" s="280">
        <v>0</v>
      </c>
      <c r="AF86" s="280">
        <v>0</v>
      </c>
      <c r="AG86" s="280">
        <v>0</v>
      </c>
      <c r="AH86" s="280">
        <v>0</v>
      </c>
      <c r="AI86" s="280">
        <v>0</v>
      </c>
      <c r="AJ86" s="280">
        <v>0</v>
      </c>
      <c r="AK86" s="280">
        <v>0</v>
      </c>
      <c r="AL86" s="280">
        <v>0</v>
      </c>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row>
    <row r="87" spans="1:131">
      <c r="A87" s="7"/>
      <c r="B87" s="7" t="s">
        <v>92</v>
      </c>
      <c r="C87" s="280">
        <v>0</v>
      </c>
      <c r="D87" s="280">
        <v>0</v>
      </c>
      <c r="E87" s="280">
        <v>0</v>
      </c>
      <c r="F87" s="280">
        <v>0</v>
      </c>
      <c r="G87" s="280">
        <v>0</v>
      </c>
      <c r="H87" s="280">
        <v>0</v>
      </c>
      <c r="I87" s="280">
        <v>0</v>
      </c>
      <c r="J87" s="280">
        <v>0</v>
      </c>
      <c r="K87" s="280">
        <v>0</v>
      </c>
      <c r="L87" s="281">
        <v>0</v>
      </c>
      <c r="M87" s="280">
        <v>0</v>
      </c>
      <c r="N87" s="280">
        <v>0</v>
      </c>
      <c r="O87" s="280">
        <v>0</v>
      </c>
      <c r="P87" s="280">
        <v>0</v>
      </c>
      <c r="Q87" s="280">
        <v>0</v>
      </c>
      <c r="R87" s="280">
        <v>0</v>
      </c>
      <c r="S87" s="280">
        <v>0</v>
      </c>
      <c r="T87" s="280">
        <v>0</v>
      </c>
      <c r="U87" s="280">
        <v>0</v>
      </c>
      <c r="V87" s="280">
        <v>0</v>
      </c>
      <c r="W87" s="280">
        <v>0</v>
      </c>
      <c r="X87" s="280">
        <v>0</v>
      </c>
      <c r="Y87" s="280">
        <v>0</v>
      </c>
      <c r="Z87" s="280"/>
      <c r="AA87" s="280">
        <v>0</v>
      </c>
      <c r="AB87" s="280">
        <v>0</v>
      </c>
      <c r="AC87" s="280">
        <v>0</v>
      </c>
      <c r="AD87" s="280">
        <v>0</v>
      </c>
      <c r="AE87" s="280">
        <v>0</v>
      </c>
      <c r="AF87" s="280">
        <v>0</v>
      </c>
      <c r="AG87" s="280">
        <v>0</v>
      </c>
      <c r="AH87" s="280">
        <v>0</v>
      </c>
      <c r="AI87" s="280">
        <v>0</v>
      </c>
      <c r="AJ87" s="280">
        <v>0</v>
      </c>
      <c r="AK87" s="280">
        <v>0</v>
      </c>
      <c r="AL87" s="280">
        <v>0</v>
      </c>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row>
    <row r="88" spans="1:131">
      <c r="A88" s="7"/>
      <c r="B88" s="7" t="s">
        <v>95</v>
      </c>
      <c r="C88" s="280">
        <v>0</v>
      </c>
      <c r="D88" s="280">
        <v>0</v>
      </c>
      <c r="E88" s="280">
        <v>0</v>
      </c>
      <c r="F88" s="280">
        <v>0</v>
      </c>
      <c r="G88" s="280">
        <v>0</v>
      </c>
      <c r="H88" s="280">
        <v>0</v>
      </c>
      <c r="I88" s="280">
        <v>0</v>
      </c>
      <c r="J88" s="280">
        <v>0</v>
      </c>
      <c r="K88" s="280">
        <v>0</v>
      </c>
      <c r="L88" s="281">
        <v>0</v>
      </c>
      <c r="M88" s="280">
        <v>0</v>
      </c>
      <c r="N88" s="280">
        <v>0</v>
      </c>
      <c r="O88" s="280">
        <v>0</v>
      </c>
      <c r="P88" s="280">
        <v>0</v>
      </c>
      <c r="Q88" s="280">
        <v>0</v>
      </c>
      <c r="R88" s="280">
        <v>0</v>
      </c>
      <c r="S88" s="280">
        <v>0</v>
      </c>
      <c r="T88" s="280">
        <v>0</v>
      </c>
      <c r="U88" s="280">
        <v>0</v>
      </c>
      <c r="V88" s="280">
        <v>0</v>
      </c>
      <c r="W88" s="280">
        <v>0</v>
      </c>
      <c r="X88" s="280">
        <v>0</v>
      </c>
      <c r="Y88" s="280">
        <v>0</v>
      </c>
      <c r="Z88" s="280"/>
      <c r="AA88" s="280">
        <v>0</v>
      </c>
      <c r="AB88" s="280">
        <v>0</v>
      </c>
      <c r="AC88" s="280">
        <v>0</v>
      </c>
      <c r="AD88" s="280">
        <v>0</v>
      </c>
      <c r="AE88" s="280">
        <v>0</v>
      </c>
      <c r="AF88" s="280">
        <v>0</v>
      </c>
      <c r="AG88" s="280">
        <v>0</v>
      </c>
      <c r="AH88" s="280">
        <v>0</v>
      </c>
      <c r="AI88" s="280">
        <v>0</v>
      </c>
      <c r="AJ88" s="280">
        <v>0</v>
      </c>
      <c r="AK88" s="280">
        <v>0</v>
      </c>
      <c r="AL88" s="280">
        <v>0</v>
      </c>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row>
    <row r="89" spans="1:131">
      <c r="A89" s="7"/>
      <c r="B89" s="7" t="s">
        <v>98</v>
      </c>
      <c r="C89" s="280">
        <v>0</v>
      </c>
      <c r="D89" s="280">
        <v>0</v>
      </c>
      <c r="E89" s="280">
        <v>0</v>
      </c>
      <c r="F89" s="280">
        <v>0</v>
      </c>
      <c r="G89" s="280">
        <v>0</v>
      </c>
      <c r="H89" s="280">
        <v>0</v>
      </c>
      <c r="I89" s="280">
        <v>0</v>
      </c>
      <c r="J89" s="280">
        <v>0</v>
      </c>
      <c r="K89" s="280">
        <v>0</v>
      </c>
      <c r="L89" s="281">
        <v>0</v>
      </c>
      <c r="M89" s="280">
        <v>0</v>
      </c>
      <c r="N89" s="280">
        <v>0</v>
      </c>
      <c r="O89" s="280">
        <v>0</v>
      </c>
      <c r="P89" s="280">
        <v>0</v>
      </c>
      <c r="Q89" s="280">
        <v>0</v>
      </c>
      <c r="R89" s="280">
        <v>0</v>
      </c>
      <c r="S89" s="280">
        <v>0</v>
      </c>
      <c r="T89" s="280">
        <v>0</v>
      </c>
      <c r="U89" s="280">
        <v>0</v>
      </c>
      <c r="V89" s="280">
        <v>0</v>
      </c>
      <c r="W89" s="280">
        <v>0</v>
      </c>
      <c r="X89" s="280">
        <v>0</v>
      </c>
      <c r="Y89" s="280">
        <v>0</v>
      </c>
      <c r="Z89" s="280"/>
      <c r="AA89" s="280">
        <v>0</v>
      </c>
      <c r="AB89" s="280">
        <v>0</v>
      </c>
      <c r="AC89" s="280">
        <v>0</v>
      </c>
      <c r="AD89" s="280">
        <v>0</v>
      </c>
      <c r="AE89" s="280">
        <v>0</v>
      </c>
      <c r="AF89" s="280">
        <v>0</v>
      </c>
      <c r="AG89" s="280">
        <v>0</v>
      </c>
      <c r="AH89" s="280">
        <v>0</v>
      </c>
      <c r="AI89" s="280">
        <v>0</v>
      </c>
      <c r="AJ89" s="280">
        <v>0</v>
      </c>
      <c r="AK89" s="280">
        <v>0</v>
      </c>
      <c r="AL89" s="280">
        <v>0</v>
      </c>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row>
    <row r="90" spans="1:131">
      <c r="A90" s="7"/>
      <c r="B90" s="7" t="s">
        <v>101</v>
      </c>
      <c r="C90" s="280">
        <v>0</v>
      </c>
      <c r="D90" s="280">
        <v>0</v>
      </c>
      <c r="E90" s="280">
        <v>0</v>
      </c>
      <c r="F90" s="280">
        <v>0</v>
      </c>
      <c r="G90" s="280">
        <v>0</v>
      </c>
      <c r="H90" s="280">
        <v>0</v>
      </c>
      <c r="I90" s="280">
        <v>0</v>
      </c>
      <c r="J90" s="280">
        <v>0</v>
      </c>
      <c r="K90" s="280">
        <v>0</v>
      </c>
      <c r="L90" s="281">
        <v>0</v>
      </c>
      <c r="M90" s="280">
        <v>0</v>
      </c>
      <c r="N90" s="280">
        <v>0</v>
      </c>
      <c r="O90" s="280">
        <v>0</v>
      </c>
      <c r="P90" s="280">
        <v>0</v>
      </c>
      <c r="Q90" s="280">
        <v>0</v>
      </c>
      <c r="R90" s="280">
        <v>0</v>
      </c>
      <c r="S90" s="280">
        <v>0</v>
      </c>
      <c r="T90" s="280">
        <v>0</v>
      </c>
      <c r="U90" s="280">
        <v>0</v>
      </c>
      <c r="V90" s="280">
        <v>0</v>
      </c>
      <c r="W90" s="280">
        <v>0</v>
      </c>
      <c r="X90" s="280">
        <v>0</v>
      </c>
      <c r="Y90" s="280">
        <v>0</v>
      </c>
      <c r="Z90" s="280"/>
      <c r="AA90" s="280">
        <v>0</v>
      </c>
      <c r="AB90" s="280">
        <v>0</v>
      </c>
      <c r="AC90" s="280">
        <v>0</v>
      </c>
      <c r="AD90" s="280">
        <v>0</v>
      </c>
      <c r="AE90" s="280">
        <v>0</v>
      </c>
      <c r="AF90" s="280">
        <v>0</v>
      </c>
      <c r="AG90" s="280">
        <v>0</v>
      </c>
      <c r="AH90" s="280">
        <v>0</v>
      </c>
      <c r="AI90" s="280">
        <v>0</v>
      </c>
      <c r="AJ90" s="280">
        <v>0</v>
      </c>
      <c r="AK90" s="280">
        <v>0</v>
      </c>
      <c r="AL90" s="280">
        <v>0</v>
      </c>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row>
    <row r="91" spans="1:131">
      <c r="A91" s="7"/>
      <c r="B91" s="7" t="s">
        <v>104</v>
      </c>
      <c r="C91" s="280">
        <v>0</v>
      </c>
      <c r="D91" s="280">
        <v>0</v>
      </c>
      <c r="E91" s="280">
        <v>0</v>
      </c>
      <c r="F91" s="280">
        <v>0</v>
      </c>
      <c r="G91" s="280">
        <v>0</v>
      </c>
      <c r="H91" s="280">
        <v>0</v>
      </c>
      <c r="I91" s="280">
        <v>0</v>
      </c>
      <c r="J91" s="280">
        <v>0</v>
      </c>
      <c r="K91" s="280">
        <v>0</v>
      </c>
      <c r="L91" s="281">
        <v>0</v>
      </c>
      <c r="M91" s="280">
        <v>0</v>
      </c>
      <c r="N91" s="280">
        <v>0</v>
      </c>
      <c r="O91" s="280">
        <v>0</v>
      </c>
      <c r="P91" s="280">
        <v>0</v>
      </c>
      <c r="Q91" s="280">
        <v>0</v>
      </c>
      <c r="R91" s="280">
        <v>0</v>
      </c>
      <c r="S91" s="280">
        <v>0</v>
      </c>
      <c r="T91" s="280">
        <v>0</v>
      </c>
      <c r="U91" s="280">
        <v>0</v>
      </c>
      <c r="V91" s="280">
        <v>0</v>
      </c>
      <c r="W91" s="280">
        <v>0</v>
      </c>
      <c r="X91" s="280">
        <v>0</v>
      </c>
      <c r="Y91" s="280">
        <v>0</v>
      </c>
      <c r="Z91" s="280"/>
      <c r="AA91" s="280">
        <v>0</v>
      </c>
      <c r="AB91" s="280">
        <v>0</v>
      </c>
      <c r="AC91" s="280">
        <v>0</v>
      </c>
      <c r="AD91" s="280">
        <v>0</v>
      </c>
      <c r="AE91" s="280">
        <v>0</v>
      </c>
      <c r="AF91" s="280">
        <v>0</v>
      </c>
      <c r="AG91" s="280">
        <v>0</v>
      </c>
      <c r="AH91" s="280">
        <v>0</v>
      </c>
      <c r="AI91" s="280">
        <v>0</v>
      </c>
      <c r="AJ91" s="280">
        <v>0</v>
      </c>
      <c r="AK91" s="280">
        <v>0</v>
      </c>
      <c r="AL91" s="280">
        <v>0</v>
      </c>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row>
    <row r="92" spans="1:131">
      <c r="A92" s="7"/>
      <c r="B92" s="7" t="s">
        <v>107</v>
      </c>
      <c r="C92" s="280">
        <v>0</v>
      </c>
      <c r="D92" s="280">
        <v>0</v>
      </c>
      <c r="E92" s="280">
        <v>0</v>
      </c>
      <c r="F92" s="280">
        <v>0</v>
      </c>
      <c r="G92" s="280">
        <v>0</v>
      </c>
      <c r="H92" s="280">
        <v>0</v>
      </c>
      <c r="I92" s="280">
        <v>0</v>
      </c>
      <c r="J92" s="280">
        <v>0</v>
      </c>
      <c r="K92" s="280">
        <v>0</v>
      </c>
      <c r="L92" s="281">
        <v>0</v>
      </c>
      <c r="M92" s="280">
        <v>0</v>
      </c>
      <c r="N92" s="280">
        <v>0</v>
      </c>
      <c r="O92" s="280">
        <v>0</v>
      </c>
      <c r="P92" s="280">
        <v>0</v>
      </c>
      <c r="Q92" s="280">
        <v>0</v>
      </c>
      <c r="R92" s="280">
        <v>0</v>
      </c>
      <c r="S92" s="280">
        <v>0</v>
      </c>
      <c r="T92" s="280">
        <v>0</v>
      </c>
      <c r="U92" s="280">
        <v>0</v>
      </c>
      <c r="V92" s="280">
        <v>0</v>
      </c>
      <c r="W92" s="280">
        <v>0</v>
      </c>
      <c r="X92" s="280">
        <v>0</v>
      </c>
      <c r="Y92" s="280">
        <v>0</v>
      </c>
      <c r="Z92" s="280"/>
      <c r="AA92" s="280">
        <v>0</v>
      </c>
      <c r="AB92" s="280">
        <v>0</v>
      </c>
      <c r="AC92" s="280">
        <v>0</v>
      </c>
      <c r="AD92" s="280">
        <v>0</v>
      </c>
      <c r="AE92" s="280">
        <v>0</v>
      </c>
      <c r="AF92" s="280">
        <v>0</v>
      </c>
      <c r="AG92" s="280">
        <v>0</v>
      </c>
      <c r="AH92" s="280">
        <v>0</v>
      </c>
      <c r="AI92" s="280">
        <v>0</v>
      </c>
      <c r="AJ92" s="280">
        <v>0</v>
      </c>
      <c r="AK92" s="280">
        <v>0</v>
      </c>
      <c r="AL92" s="280">
        <v>0</v>
      </c>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row>
    <row r="93" spans="1:131">
      <c r="A93" s="7"/>
      <c r="B93" s="7" t="s">
        <v>110</v>
      </c>
      <c r="C93" s="280">
        <v>0</v>
      </c>
      <c r="D93" s="280">
        <v>0</v>
      </c>
      <c r="E93" s="280">
        <v>0</v>
      </c>
      <c r="F93" s="280">
        <v>0</v>
      </c>
      <c r="G93" s="280">
        <v>0</v>
      </c>
      <c r="H93" s="280">
        <v>0</v>
      </c>
      <c r="I93" s="280">
        <v>0</v>
      </c>
      <c r="J93" s="280">
        <v>0</v>
      </c>
      <c r="K93" s="280">
        <v>0</v>
      </c>
      <c r="L93" s="281">
        <v>0</v>
      </c>
      <c r="M93" s="280">
        <v>0</v>
      </c>
      <c r="N93" s="280">
        <v>0</v>
      </c>
      <c r="O93" s="280">
        <v>0</v>
      </c>
      <c r="P93" s="280">
        <v>0</v>
      </c>
      <c r="Q93" s="280">
        <v>0</v>
      </c>
      <c r="R93" s="280">
        <v>0</v>
      </c>
      <c r="S93" s="280">
        <v>0</v>
      </c>
      <c r="T93" s="280">
        <v>0</v>
      </c>
      <c r="U93" s="280">
        <v>0</v>
      </c>
      <c r="V93" s="280">
        <v>0</v>
      </c>
      <c r="W93" s="280">
        <v>0</v>
      </c>
      <c r="X93" s="280">
        <v>0</v>
      </c>
      <c r="Y93" s="280">
        <v>0</v>
      </c>
      <c r="Z93" s="280"/>
      <c r="AA93" s="280">
        <v>0</v>
      </c>
      <c r="AB93" s="280">
        <v>0</v>
      </c>
      <c r="AC93" s="280">
        <v>0</v>
      </c>
      <c r="AD93" s="280">
        <v>0</v>
      </c>
      <c r="AE93" s="280">
        <v>0</v>
      </c>
      <c r="AF93" s="280">
        <v>0</v>
      </c>
      <c r="AG93" s="280">
        <v>0</v>
      </c>
      <c r="AH93" s="280">
        <v>0</v>
      </c>
      <c r="AI93" s="280">
        <v>0</v>
      </c>
      <c r="AJ93" s="280">
        <v>0</v>
      </c>
      <c r="AK93" s="280">
        <v>0</v>
      </c>
      <c r="AL93" s="280">
        <v>0</v>
      </c>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row>
    <row r="94" spans="1:131">
      <c r="A94" s="7"/>
      <c r="B94" s="7" t="s">
        <v>113</v>
      </c>
      <c r="C94" s="280">
        <v>0</v>
      </c>
      <c r="D94" s="280">
        <v>0</v>
      </c>
      <c r="E94" s="280">
        <v>0</v>
      </c>
      <c r="F94" s="280">
        <v>0</v>
      </c>
      <c r="G94" s="280">
        <v>0</v>
      </c>
      <c r="H94" s="280">
        <v>0</v>
      </c>
      <c r="I94" s="280">
        <v>0</v>
      </c>
      <c r="J94" s="280">
        <v>0</v>
      </c>
      <c r="K94" s="280">
        <v>0</v>
      </c>
      <c r="L94" s="281">
        <v>0</v>
      </c>
      <c r="M94" s="280">
        <v>0</v>
      </c>
      <c r="N94" s="280">
        <v>0</v>
      </c>
      <c r="O94" s="280">
        <v>0</v>
      </c>
      <c r="P94" s="280">
        <v>0</v>
      </c>
      <c r="Q94" s="280">
        <v>0</v>
      </c>
      <c r="R94" s="280">
        <v>0</v>
      </c>
      <c r="S94" s="280">
        <v>0</v>
      </c>
      <c r="T94" s="280">
        <v>0</v>
      </c>
      <c r="U94" s="280">
        <v>0</v>
      </c>
      <c r="V94" s="280">
        <v>0</v>
      </c>
      <c r="W94" s="280">
        <v>0</v>
      </c>
      <c r="X94" s="280">
        <v>0</v>
      </c>
      <c r="Y94" s="280">
        <v>0</v>
      </c>
      <c r="Z94" s="280"/>
      <c r="AA94" s="280">
        <v>0</v>
      </c>
      <c r="AB94" s="280">
        <v>0</v>
      </c>
      <c r="AC94" s="280">
        <v>0</v>
      </c>
      <c r="AD94" s="280">
        <v>0</v>
      </c>
      <c r="AE94" s="280">
        <v>0</v>
      </c>
      <c r="AF94" s="280">
        <v>0</v>
      </c>
      <c r="AG94" s="280">
        <v>0</v>
      </c>
      <c r="AH94" s="280">
        <v>0</v>
      </c>
      <c r="AI94" s="280">
        <v>0</v>
      </c>
      <c r="AJ94" s="280">
        <v>0</v>
      </c>
      <c r="AK94" s="280">
        <v>0</v>
      </c>
      <c r="AL94" s="280">
        <v>0</v>
      </c>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row>
    <row r="95" spans="1:131">
      <c r="A95" s="7"/>
      <c r="B95" s="7" t="s">
        <v>116</v>
      </c>
      <c r="C95" s="280">
        <v>0</v>
      </c>
      <c r="D95" s="280">
        <v>0</v>
      </c>
      <c r="E95" s="280">
        <v>0</v>
      </c>
      <c r="F95" s="280">
        <v>0</v>
      </c>
      <c r="G95" s="280">
        <v>0</v>
      </c>
      <c r="H95" s="280">
        <v>0</v>
      </c>
      <c r="I95" s="280">
        <v>0</v>
      </c>
      <c r="J95" s="280">
        <v>0</v>
      </c>
      <c r="K95" s="280">
        <v>0</v>
      </c>
      <c r="L95" s="281">
        <v>0</v>
      </c>
      <c r="M95" s="280">
        <v>0</v>
      </c>
      <c r="N95" s="280">
        <v>0</v>
      </c>
      <c r="O95" s="280">
        <v>0</v>
      </c>
      <c r="P95" s="280">
        <v>0</v>
      </c>
      <c r="Q95" s="280">
        <v>0</v>
      </c>
      <c r="R95" s="280">
        <v>0</v>
      </c>
      <c r="S95" s="280">
        <v>0</v>
      </c>
      <c r="T95" s="280">
        <v>0</v>
      </c>
      <c r="U95" s="280">
        <v>0</v>
      </c>
      <c r="V95" s="280">
        <v>0</v>
      </c>
      <c r="W95" s="280">
        <v>0</v>
      </c>
      <c r="X95" s="280">
        <v>0</v>
      </c>
      <c r="Y95" s="280">
        <v>0</v>
      </c>
      <c r="Z95" s="280"/>
      <c r="AA95" s="280">
        <v>0</v>
      </c>
      <c r="AB95" s="280">
        <v>0</v>
      </c>
      <c r="AC95" s="280">
        <v>0</v>
      </c>
      <c r="AD95" s="280">
        <v>0</v>
      </c>
      <c r="AE95" s="280">
        <v>0</v>
      </c>
      <c r="AF95" s="280">
        <v>0</v>
      </c>
      <c r="AG95" s="280">
        <v>0</v>
      </c>
      <c r="AH95" s="280">
        <v>0</v>
      </c>
      <c r="AI95" s="280">
        <v>0</v>
      </c>
      <c r="AJ95" s="280">
        <v>0</v>
      </c>
      <c r="AK95" s="280">
        <v>0</v>
      </c>
      <c r="AL95" s="280">
        <v>0</v>
      </c>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row>
    <row r="96" spans="1:131">
      <c r="A96" s="7"/>
      <c r="B96" s="7" t="s">
        <v>119</v>
      </c>
      <c r="C96" s="280">
        <v>0</v>
      </c>
      <c r="D96" s="280">
        <v>0</v>
      </c>
      <c r="E96" s="280">
        <v>0</v>
      </c>
      <c r="F96" s="280">
        <v>0</v>
      </c>
      <c r="G96" s="280">
        <v>0</v>
      </c>
      <c r="H96" s="280">
        <v>0</v>
      </c>
      <c r="I96" s="280">
        <v>0</v>
      </c>
      <c r="J96" s="280">
        <v>0</v>
      </c>
      <c r="K96" s="280">
        <v>0</v>
      </c>
      <c r="L96" s="281">
        <v>0</v>
      </c>
      <c r="M96" s="280">
        <v>0</v>
      </c>
      <c r="N96" s="280">
        <v>0</v>
      </c>
      <c r="O96" s="280">
        <v>0</v>
      </c>
      <c r="P96" s="280">
        <v>0</v>
      </c>
      <c r="Q96" s="280">
        <v>0</v>
      </c>
      <c r="R96" s="280">
        <v>0</v>
      </c>
      <c r="S96" s="280">
        <v>0</v>
      </c>
      <c r="T96" s="280">
        <v>0</v>
      </c>
      <c r="U96" s="280">
        <v>0</v>
      </c>
      <c r="V96" s="280">
        <v>0</v>
      </c>
      <c r="W96" s="280">
        <v>0</v>
      </c>
      <c r="X96" s="280">
        <v>0</v>
      </c>
      <c r="Y96" s="280">
        <v>0</v>
      </c>
      <c r="Z96" s="280"/>
      <c r="AA96" s="280">
        <v>0</v>
      </c>
      <c r="AB96" s="280">
        <v>0</v>
      </c>
      <c r="AC96" s="280">
        <v>0</v>
      </c>
      <c r="AD96" s="280">
        <v>0</v>
      </c>
      <c r="AE96" s="280">
        <v>0</v>
      </c>
      <c r="AF96" s="280">
        <v>0</v>
      </c>
      <c r="AG96" s="280">
        <v>0</v>
      </c>
      <c r="AH96" s="280">
        <v>0</v>
      </c>
      <c r="AI96" s="280">
        <v>0</v>
      </c>
      <c r="AJ96" s="280">
        <v>0</v>
      </c>
      <c r="AK96" s="280">
        <v>0</v>
      </c>
      <c r="AL96" s="280">
        <v>0</v>
      </c>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row>
    <row r="97" spans="1:131">
      <c r="A97" s="7"/>
      <c r="B97" s="7" t="s">
        <v>122</v>
      </c>
      <c r="C97" s="280">
        <v>0</v>
      </c>
      <c r="D97" s="280">
        <v>0</v>
      </c>
      <c r="E97" s="280">
        <v>0</v>
      </c>
      <c r="F97" s="280">
        <v>0</v>
      </c>
      <c r="G97" s="280">
        <v>0</v>
      </c>
      <c r="H97" s="280">
        <v>0</v>
      </c>
      <c r="I97" s="280">
        <v>0</v>
      </c>
      <c r="J97" s="280">
        <v>0</v>
      </c>
      <c r="K97" s="280">
        <v>0</v>
      </c>
      <c r="L97" s="281">
        <v>0</v>
      </c>
      <c r="M97" s="280">
        <v>0</v>
      </c>
      <c r="N97" s="280">
        <v>0</v>
      </c>
      <c r="O97" s="280">
        <v>0</v>
      </c>
      <c r="P97" s="280">
        <v>0</v>
      </c>
      <c r="Q97" s="280">
        <v>0</v>
      </c>
      <c r="R97" s="280">
        <v>0</v>
      </c>
      <c r="S97" s="280">
        <v>0</v>
      </c>
      <c r="T97" s="280">
        <v>0</v>
      </c>
      <c r="U97" s="280">
        <v>0</v>
      </c>
      <c r="V97" s="280">
        <v>0</v>
      </c>
      <c r="W97" s="280">
        <v>0</v>
      </c>
      <c r="X97" s="280">
        <v>0</v>
      </c>
      <c r="Y97" s="280">
        <v>0</v>
      </c>
      <c r="Z97" s="280"/>
      <c r="AA97" s="280">
        <v>0</v>
      </c>
      <c r="AB97" s="280">
        <v>0</v>
      </c>
      <c r="AC97" s="280">
        <v>0</v>
      </c>
      <c r="AD97" s="280">
        <v>0</v>
      </c>
      <c r="AE97" s="280">
        <v>0</v>
      </c>
      <c r="AF97" s="280">
        <v>0</v>
      </c>
      <c r="AG97" s="280">
        <v>0</v>
      </c>
      <c r="AH97" s="280">
        <v>0</v>
      </c>
      <c r="AI97" s="280">
        <v>0</v>
      </c>
      <c r="AJ97" s="280">
        <v>0</v>
      </c>
      <c r="AK97" s="280">
        <v>0</v>
      </c>
      <c r="AL97" s="280">
        <v>0</v>
      </c>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row>
    <row r="98" spans="1:131">
      <c r="A98" s="7"/>
      <c r="B98" s="7" t="s">
        <v>125</v>
      </c>
      <c r="C98" s="280">
        <v>0</v>
      </c>
      <c r="D98" s="280">
        <v>0</v>
      </c>
      <c r="E98" s="280">
        <v>0</v>
      </c>
      <c r="F98" s="280">
        <v>0</v>
      </c>
      <c r="G98" s="280">
        <v>0</v>
      </c>
      <c r="H98" s="280">
        <v>0</v>
      </c>
      <c r="I98" s="280">
        <v>0</v>
      </c>
      <c r="J98" s="280">
        <v>0</v>
      </c>
      <c r="K98" s="280">
        <v>0</v>
      </c>
      <c r="L98" s="281">
        <v>0</v>
      </c>
      <c r="M98" s="280">
        <v>0</v>
      </c>
      <c r="N98" s="280">
        <v>0</v>
      </c>
      <c r="O98" s="280">
        <v>0</v>
      </c>
      <c r="P98" s="280">
        <v>0</v>
      </c>
      <c r="Q98" s="280">
        <v>0</v>
      </c>
      <c r="R98" s="280">
        <v>0</v>
      </c>
      <c r="S98" s="280">
        <v>0</v>
      </c>
      <c r="T98" s="280">
        <v>0</v>
      </c>
      <c r="U98" s="280">
        <v>0</v>
      </c>
      <c r="V98" s="280">
        <v>0</v>
      </c>
      <c r="W98" s="280">
        <v>0</v>
      </c>
      <c r="X98" s="280">
        <v>0</v>
      </c>
      <c r="Y98" s="280">
        <v>0</v>
      </c>
      <c r="Z98" s="280"/>
      <c r="AA98" s="280">
        <v>0</v>
      </c>
      <c r="AB98" s="280">
        <v>0</v>
      </c>
      <c r="AC98" s="280">
        <v>0</v>
      </c>
      <c r="AD98" s="280">
        <v>0</v>
      </c>
      <c r="AE98" s="280">
        <v>0</v>
      </c>
      <c r="AF98" s="280">
        <v>0</v>
      </c>
      <c r="AG98" s="280">
        <v>0</v>
      </c>
      <c r="AH98" s="280">
        <v>0</v>
      </c>
      <c r="AI98" s="280">
        <v>0</v>
      </c>
      <c r="AJ98" s="280">
        <v>0</v>
      </c>
      <c r="AK98" s="280">
        <v>0</v>
      </c>
      <c r="AL98" s="280">
        <v>0</v>
      </c>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row>
    <row r="99" spans="1:131">
      <c r="A99" s="7"/>
      <c r="B99" s="7" t="s">
        <v>128</v>
      </c>
      <c r="C99" s="280">
        <v>0</v>
      </c>
      <c r="D99" s="280">
        <v>0</v>
      </c>
      <c r="E99" s="280">
        <v>0</v>
      </c>
      <c r="F99" s="280">
        <v>0</v>
      </c>
      <c r="G99" s="280">
        <v>0</v>
      </c>
      <c r="H99" s="280">
        <v>0</v>
      </c>
      <c r="I99" s="280">
        <v>0</v>
      </c>
      <c r="J99" s="280">
        <v>0</v>
      </c>
      <c r="K99" s="280">
        <v>0</v>
      </c>
      <c r="L99" s="281">
        <v>0</v>
      </c>
      <c r="M99" s="280">
        <v>0</v>
      </c>
      <c r="N99" s="280">
        <v>0</v>
      </c>
      <c r="O99" s="280">
        <v>0</v>
      </c>
      <c r="P99" s="280">
        <v>0</v>
      </c>
      <c r="Q99" s="280">
        <v>0</v>
      </c>
      <c r="R99" s="280">
        <v>0</v>
      </c>
      <c r="S99" s="280">
        <v>0</v>
      </c>
      <c r="T99" s="280">
        <v>0</v>
      </c>
      <c r="U99" s="280">
        <v>0</v>
      </c>
      <c r="V99" s="280">
        <v>0</v>
      </c>
      <c r="W99" s="280">
        <v>0</v>
      </c>
      <c r="X99" s="280">
        <v>0</v>
      </c>
      <c r="Y99" s="280">
        <v>0</v>
      </c>
      <c r="Z99" s="280"/>
      <c r="AA99" s="280">
        <v>0</v>
      </c>
      <c r="AB99" s="280">
        <v>0</v>
      </c>
      <c r="AC99" s="280">
        <v>0</v>
      </c>
      <c r="AD99" s="280">
        <v>0</v>
      </c>
      <c r="AE99" s="280">
        <v>0</v>
      </c>
      <c r="AF99" s="280">
        <v>0</v>
      </c>
      <c r="AG99" s="280">
        <v>0</v>
      </c>
      <c r="AH99" s="280">
        <v>0</v>
      </c>
      <c r="AI99" s="280">
        <v>0</v>
      </c>
      <c r="AJ99" s="280">
        <v>0</v>
      </c>
      <c r="AK99" s="280">
        <v>0</v>
      </c>
      <c r="AL99" s="280">
        <v>0</v>
      </c>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row>
    <row r="100" spans="1:131">
      <c r="A100" s="7"/>
      <c r="B100" s="7" t="s">
        <v>131</v>
      </c>
      <c r="C100" s="280">
        <v>0</v>
      </c>
      <c r="D100" s="280">
        <v>0</v>
      </c>
      <c r="E100" s="280">
        <v>0</v>
      </c>
      <c r="F100" s="280">
        <v>0</v>
      </c>
      <c r="G100" s="280">
        <v>0</v>
      </c>
      <c r="H100" s="280">
        <v>0</v>
      </c>
      <c r="I100" s="280">
        <v>0</v>
      </c>
      <c r="J100" s="280">
        <v>0</v>
      </c>
      <c r="K100" s="280">
        <v>0</v>
      </c>
      <c r="L100" s="281">
        <v>0</v>
      </c>
      <c r="M100" s="280">
        <v>0</v>
      </c>
      <c r="N100" s="280">
        <v>0</v>
      </c>
      <c r="O100" s="280">
        <v>0</v>
      </c>
      <c r="P100" s="280">
        <v>0</v>
      </c>
      <c r="Q100" s="280">
        <v>0</v>
      </c>
      <c r="R100" s="280">
        <v>0</v>
      </c>
      <c r="S100" s="280">
        <v>0</v>
      </c>
      <c r="T100" s="280">
        <v>0</v>
      </c>
      <c r="U100" s="280">
        <v>0</v>
      </c>
      <c r="V100" s="280">
        <v>0</v>
      </c>
      <c r="W100" s="280">
        <v>0</v>
      </c>
      <c r="X100" s="280">
        <v>0</v>
      </c>
      <c r="Y100" s="280">
        <v>0</v>
      </c>
      <c r="Z100" s="280"/>
      <c r="AA100" s="280">
        <v>0</v>
      </c>
      <c r="AB100" s="280">
        <v>0</v>
      </c>
      <c r="AC100" s="280">
        <v>0</v>
      </c>
      <c r="AD100" s="280">
        <v>0</v>
      </c>
      <c r="AE100" s="280">
        <v>0</v>
      </c>
      <c r="AF100" s="280">
        <v>0</v>
      </c>
      <c r="AG100" s="280">
        <v>0</v>
      </c>
      <c r="AH100" s="280">
        <v>0</v>
      </c>
      <c r="AI100" s="280">
        <v>0</v>
      </c>
      <c r="AJ100" s="280">
        <v>0</v>
      </c>
      <c r="AK100" s="280">
        <v>0</v>
      </c>
      <c r="AL100" s="280">
        <v>0</v>
      </c>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row>
    <row r="101" spans="1:131">
      <c r="A101" s="7"/>
      <c r="B101" s="7" t="s">
        <v>134</v>
      </c>
      <c r="C101" s="280">
        <v>0</v>
      </c>
      <c r="D101" s="280">
        <v>0</v>
      </c>
      <c r="E101" s="280">
        <v>0</v>
      </c>
      <c r="F101" s="280">
        <v>0</v>
      </c>
      <c r="G101" s="280">
        <v>0</v>
      </c>
      <c r="H101" s="280">
        <v>0</v>
      </c>
      <c r="I101" s="280">
        <v>0</v>
      </c>
      <c r="J101" s="280">
        <v>0</v>
      </c>
      <c r="K101" s="280">
        <v>0</v>
      </c>
      <c r="L101" s="281">
        <v>0</v>
      </c>
      <c r="M101" s="280">
        <v>0</v>
      </c>
      <c r="N101" s="280">
        <v>0</v>
      </c>
      <c r="O101" s="280">
        <v>0</v>
      </c>
      <c r="P101" s="280">
        <v>0</v>
      </c>
      <c r="Q101" s="280">
        <v>0</v>
      </c>
      <c r="R101" s="280">
        <v>0</v>
      </c>
      <c r="S101" s="280">
        <v>0</v>
      </c>
      <c r="T101" s="280">
        <v>0</v>
      </c>
      <c r="U101" s="280">
        <v>0</v>
      </c>
      <c r="V101" s="280">
        <v>0</v>
      </c>
      <c r="W101" s="280">
        <v>0</v>
      </c>
      <c r="X101" s="280">
        <v>0</v>
      </c>
      <c r="Y101" s="280">
        <v>0</v>
      </c>
      <c r="Z101" s="280"/>
      <c r="AA101" s="280">
        <v>0</v>
      </c>
      <c r="AB101" s="280">
        <v>0</v>
      </c>
      <c r="AC101" s="280">
        <v>0</v>
      </c>
      <c r="AD101" s="280">
        <v>0</v>
      </c>
      <c r="AE101" s="280">
        <v>0</v>
      </c>
      <c r="AF101" s="280">
        <v>0</v>
      </c>
      <c r="AG101" s="280">
        <v>0</v>
      </c>
      <c r="AH101" s="280">
        <v>0</v>
      </c>
      <c r="AI101" s="280">
        <v>0</v>
      </c>
      <c r="AJ101" s="280">
        <v>0</v>
      </c>
      <c r="AK101" s="280">
        <v>0</v>
      </c>
      <c r="AL101" s="280">
        <v>0</v>
      </c>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row>
    <row r="102" spans="1:131">
      <c r="A102" s="7"/>
      <c r="B102" s="7" t="s">
        <v>137</v>
      </c>
      <c r="C102" s="280">
        <v>0</v>
      </c>
      <c r="D102" s="280">
        <v>0</v>
      </c>
      <c r="E102" s="280">
        <v>0</v>
      </c>
      <c r="F102" s="280">
        <v>0</v>
      </c>
      <c r="G102" s="280">
        <v>0</v>
      </c>
      <c r="H102" s="280">
        <v>0</v>
      </c>
      <c r="I102" s="280">
        <v>0</v>
      </c>
      <c r="J102" s="280">
        <v>0</v>
      </c>
      <c r="K102" s="280">
        <v>0</v>
      </c>
      <c r="L102" s="281">
        <v>0</v>
      </c>
      <c r="M102" s="280">
        <v>0</v>
      </c>
      <c r="N102" s="280">
        <v>0</v>
      </c>
      <c r="O102" s="280">
        <v>0</v>
      </c>
      <c r="P102" s="280">
        <v>0</v>
      </c>
      <c r="Q102" s="280">
        <v>0</v>
      </c>
      <c r="R102" s="280">
        <v>0</v>
      </c>
      <c r="S102" s="280">
        <v>0</v>
      </c>
      <c r="T102" s="280">
        <v>0</v>
      </c>
      <c r="U102" s="280">
        <v>0</v>
      </c>
      <c r="V102" s="280">
        <v>0</v>
      </c>
      <c r="W102" s="280">
        <v>0</v>
      </c>
      <c r="X102" s="280">
        <v>0</v>
      </c>
      <c r="Y102" s="280">
        <v>0</v>
      </c>
      <c r="Z102" s="280"/>
      <c r="AA102" s="280">
        <v>0</v>
      </c>
      <c r="AB102" s="280">
        <v>0</v>
      </c>
      <c r="AC102" s="280">
        <v>0</v>
      </c>
      <c r="AD102" s="280">
        <v>0</v>
      </c>
      <c r="AE102" s="280">
        <v>0</v>
      </c>
      <c r="AF102" s="280">
        <v>0</v>
      </c>
      <c r="AG102" s="280">
        <v>0</v>
      </c>
      <c r="AH102" s="280">
        <v>0</v>
      </c>
      <c r="AI102" s="280">
        <v>0</v>
      </c>
      <c r="AJ102" s="280">
        <v>0</v>
      </c>
      <c r="AK102" s="280">
        <v>0</v>
      </c>
      <c r="AL102" s="280">
        <v>0</v>
      </c>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row>
    <row r="103" spans="1:131">
      <c r="A103" s="7"/>
      <c r="B103" s="7" t="s">
        <v>140</v>
      </c>
      <c r="C103" s="280">
        <v>0</v>
      </c>
      <c r="D103" s="280">
        <v>0</v>
      </c>
      <c r="E103" s="280">
        <v>0</v>
      </c>
      <c r="F103" s="280">
        <v>0</v>
      </c>
      <c r="G103" s="280">
        <v>0</v>
      </c>
      <c r="H103" s="280">
        <v>0</v>
      </c>
      <c r="I103" s="280">
        <v>0</v>
      </c>
      <c r="J103" s="280">
        <v>0</v>
      </c>
      <c r="K103" s="280">
        <v>0</v>
      </c>
      <c r="L103" s="281">
        <v>0</v>
      </c>
      <c r="M103" s="280">
        <v>0</v>
      </c>
      <c r="N103" s="280">
        <v>0</v>
      </c>
      <c r="O103" s="280">
        <v>0</v>
      </c>
      <c r="P103" s="280">
        <v>0</v>
      </c>
      <c r="Q103" s="280">
        <v>0</v>
      </c>
      <c r="R103" s="280">
        <v>0</v>
      </c>
      <c r="S103" s="280">
        <v>0</v>
      </c>
      <c r="T103" s="280">
        <v>0</v>
      </c>
      <c r="U103" s="280">
        <v>0</v>
      </c>
      <c r="V103" s="280">
        <v>0</v>
      </c>
      <c r="W103" s="280">
        <v>0</v>
      </c>
      <c r="X103" s="280">
        <v>0</v>
      </c>
      <c r="Y103" s="280">
        <v>0</v>
      </c>
      <c r="Z103" s="280"/>
      <c r="AA103" s="280">
        <v>0</v>
      </c>
      <c r="AB103" s="280">
        <v>0</v>
      </c>
      <c r="AC103" s="280">
        <v>0</v>
      </c>
      <c r="AD103" s="280">
        <v>0</v>
      </c>
      <c r="AE103" s="280">
        <v>0</v>
      </c>
      <c r="AF103" s="280">
        <v>0</v>
      </c>
      <c r="AG103" s="280">
        <v>0</v>
      </c>
      <c r="AH103" s="280">
        <v>0</v>
      </c>
      <c r="AI103" s="280">
        <v>0</v>
      </c>
      <c r="AJ103" s="280">
        <v>0</v>
      </c>
      <c r="AK103" s="280">
        <v>0</v>
      </c>
      <c r="AL103" s="280">
        <v>0</v>
      </c>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row>
    <row r="104" spans="1:131">
      <c r="A104" s="7"/>
      <c r="B104" s="7"/>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row>
    <row r="105" spans="1:131">
      <c r="A105" s="7"/>
      <c r="B105" s="7"/>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row>
    <row r="106" spans="1:131" ht="13.5" thickBot="1">
      <c r="A106" s="24" t="s">
        <v>45</v>
      </c>
      <c r="B106" s="25"/>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row>
    <row r="107" spans="1:131" ht="13.5" thickBot="1">
      <c r="A107" s="33"/>
      <c r="B107" s="34"/>
      <c r="C107" s="35"/>
      <c r="D107" s="35"/>
      <c r="E107" s="35"/>
      <c r="F107" s="35"/>
      <c r="G107" s="35"/>
      <c r="H107" s="35"/>
      <c r="I107" s="35"/>
      <c r="J107" s="35"/>
      <c r="K107" s="35"/>
      <c r="L107" s="35"/>
      <c r="M107" s="35"/>
      <c r="N107" s="35"/>
      <c r="O107" s="36" t="s">
        <v>592</v>
      </c>
      <c r="P107" s="37"/>
      <c r="Q107" s="37"/>
      <c r="R107" s="37"/>
      <c r="S107" s="37"/>
      <c r="T107" s="37"/>
      <c r="U107" s="37"/>
      <c r="V107" s="37"/>
      <c r="W107" s="37"/>
      <c r="X107" s="37"/>
      <c r="Y107" s="37"/>
      <c r="Z107" s="31"/>
      <c r="AA107" s="35"/>
      <c r="AB107" s="36" t="s">
        <v>593</v>
      </c>
      <c r="AC107" s="37"/>
      <c r="AD107" s="37"/>
      <c r="AE107" s="37"/>
      <c r="AF107" s="37"/>
      <c r="AG107" s="37"/>
      <c r="AH107" s="37"/>
      <c r="AI107" s="37"/>
      <c r="AJ107" s="37"/>
      <c r="AK107" s="37"/>
      <c r="AL107" s="37"/>
      <c r="AM107" s="31"/>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row>
    <row r="108" spans="1:131" ht="191.25">
      <c r="A108" s="27" t="s">
        <v>21</v>
      </c>
      <c r="B108" s="28" t="s">
        <v>22</v>
      </c>
      <c r="C108" s="29" t="s">
        <v>46</v>
      </c>
      <c r="D108" s="29" t="s">
        <v>25</v>
      </c>
      <c r="E108" s="29" t="s">
        <v>26</v>
      </c>
      <c r="F108" s="29" t="s">
        <v>27</v>
      </c>
      <c r="G108" s="29" t="s">
        <v>28</v>
      </c>
      <c r="H108" s="29" t="s">
        <v>29</v>
      </c>
      <c r="I108" s="29" t="s">
        <v>30</v>
      </c>
      <c r="J108" s="29" t="s">
        <v>31</v>
      </c>
      <c r="K108" s="29" t="s">
        <v>24</v>
      </c>
      <c r="L108" s="29" t="s">
        <v>23</v>
      </c>
      <c r="M108" s="29" t="s">
        <v>32</v>
      </c>
      <c r="N108" s="29" t="s">
        <v>594</v>
      </c>
      <c r="O108" s="29" t="s">
        <v>33</v>
      </c>
      <c r="P108" s="29" t="s">
        <v>34</v>
      </c>
      <c r="Q108" s="29" t="s">
        <v>35</v>
      </c>
      <c r="R108" s="29" t="s">
        <v>36</v>
      </c>
      <c r="S108" s="29" t="s">
        <v>37</v>
      </c>
      <c r="T108" s="29" t="s">
        <v>38</v>
      </c>
      <c r="U108" s="29" t="s">
        <v>39</v>
      </c>
      <c r="V108" s="29" t="s">
        <v>40</v>
      </c>
      <c r="W108" s="29" t="s">
        <v>41</v>
      </c>
      <c r="X108" s="29" t="s">
        <v>42</v>
      </c>
      <c r="Y108" s="29" t="s">
        <v>43</v>
      </c>
      <c r="Z108" s="29" t="s">
        <v>44</v>
      </c>
      <c r="AA108" s="29"/>
      <c r="AB108" s="29" t="s">
        <v>33</v>
      </c>
      <c r="AC108" s="29" t="s">
        <v>34</v>
      </c>
      <c r="AD108" s="29" t="s">
        <v>35</v>
      </c>
      <c r="AE108" s="29" t="s">
        <v>36</v>
      </c>
      <c r="AF108" s="29" t="s">
        <v>37</v>
      </c>
      <c r="AG108" s="29" t="s">
        <v>38</v>
      </c>
      <c r="AH108" s="29" t="s">
        <v>39</v>
      </c>
      <c r="AI108" s="29" t="s">
        <v>40</v>
      </c>
      <c r="AJ108" s="29" t="s">
        <v>41</v>
      </c>
      <c r="AK108" s="29" t="s">
        <v>42</v>
      </c>
      <c r="AL108" s="29" t="s">
        <v>43</v>
      </c>
      <c r="AM108" s="29" t="s">
        <v>44</v>
      </c>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row>
    <row r="109" spans="1:131">
      <c r="A109" s="7" t="s">
        <v>620</v>
      </c>
      <c r="B109" s="7"/>
      <c r="C109" s="32">
        <v>56.616194615468245</v>
      </c>
      <c r="D109" s="32">
        <v>0</v>
      </c>
      <c r="E109" s="32">
        <v>0</v>
      </c>
      <c r="F109" s="32">
        <v>0</v>
      </c>
      <c r="G109" s="32">
        <v>0</v>
      </c>
      <c r="H109" s="32">
        <v>212.65238254972505</v>
      </c>
      <c r="I109" s="32">
        <v>0</v>
      </c>
      <c r="J109" s="32">
        <v>-10.987547336671968</v>
      </c>
      <c r="K109" s="32">
        <v>-238.38313260787731</v>
      </c>
      <c r="L109" s="30">
        <v>9999</v>
      </c>
      <c r="M109" s="32">
        <v>0.76313621459430092</v>
      </c>
      <c r="N109" s="32">
        <v>1.0956571694973402E-2</v>
      </c>
      <c r="O109" s="32">
        <v>3.7434592550015577</v>
      </c>
      <c r="P109" s="32">
        <v>3.3535097651839711</v>
      </c>
      <c r="Q109" s="32">
        <v>3.8578171422763501</v>
      </c>
      <c r="R109" s="32">
        <v>3.3457078703747025</v>
      </c>
      <c r="S109" s="32">
        <v>3.1912195694190264</v>
      </c>
      <c r="T109" s="32">
        <v>3.1113773068924058</v>
      </c>
      <c r="U109" s="32">
        <v>2.6332652459495787</v>
      </c>
      <c r="V109" s="32">
        <v>2.7538475768048531</v>
      </c>
      <c r="W109" s="32">
        <v>2.5835106289739818</v>
      </c>
      <c r="X109" s="32">
        <v>3.1191223198026057</v>
      </c>
      <c r="Y109" s="32">
        <v>3.1969785563963025</v>
      </c>
      <c r="Z109" s="32">
        <v>3.7170579755485829</v>
      </c>
      <c r="AA109" s="32"/>
      <c r="AB109" s="32">
        <v>1.8784052508764384</v>
      </c>
      <c r="AC109" s="32">
        <v>1.5733945720464928</v>
      </c>
      <c r="AD109" s="32">
        <v>1.502205980737191</v>
      </c>
      <c r="AE109" s="32">
        <v>1.5626491651215921</v>
      </c>
      <c r="AF109" s="32">
        <v>1.5615499958804764</v>
      </c>
      <c r="AG109" s="32">
        <v>1.2947011067357403</v>
      </c>
      <c r="AH109" s="32">
        <v>1.4077824170069377</v>
      </c>
      <c r="AI109" s="32">
        <v>1.1052597636665953</v>
      </c>
      <c r="AJ109" s="32">
        <v>1.361724154955567</v>
      </c>
      <c r="AK109" s="32">
        <v>1.2704396314162765</v>
      </c>
      <c r="AL109" s="32">
        <v>1.6637652925395958</v>
      </c>
      <c r="AM109" s="26">
        <v>1.8274440718614255</v>
      </c>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row>
    <row r="110" spans="1:131">
      <c r="A110" s="7" t="s">
        <v>623</v>
      </c>
      <c r="B110" s="7"/>
      <c r="C110" s="32">
        <v>58.930558362050633</v>
      </c>
      <c r="D110" s="32">
        <v>0</v>
      </c>
      <c r="E110" s="32">
        <v>0</v>
      </c>
      <c r="F110" s="32">
        <v>0</v>
      </c>
      <c r="G110" s="32">
        <v>0</v>
      </c>
      <c r="H110" s="32">
        <v>214.76626639201743</v>
      </c>
      <c r="I110" s="32">
        <v>0</v>
      </c>
      <c r="J110" s="32">
        <v>-10.987547336671975</v>
      </c>
      <c r="K110" s="32">
        <v>-230.16854242343911</v>
      </c>
      <c r="L110" s="30">
        <v>9999</v>
      </c>
      <c r="M110" s="32">
        <v>0.79433179036121593</v>
      </c>
      <c r="N110" s="32">
        <v>1.1404455776372774E-2</v>
      </c>
      <c r="O110" s="32">
        <v>3.8964848415042734</v>
      </c>
      <c r="P110" s="32">
        <v>3.4905949486207137</v>
      </c>
      <c r="Q110" s="32">
        <v>4.0155174645192915</v>
      </c>
      <c r="R110" s="32">
        <v>3.4824741269986519</v>
      </c>
      <c r="S110" s="32">
        <v>3.3216706343309341</v>
      </c>
      <c r="T110" s="32">
        <v>3.2385645700053449</v>
      </c>
      <c r="U110" s="32">
        <v>2.7409081856023261</v>
      </c>
      <c r="V110" s="32">
        <v>2.8664196957658405</v>
      </c>
      <c r="W110" s="32">
        <v>2.6891196932923749</v>
      </c>
      <c r="X110" s="32">
        <v>3.2466261845030928</v>
      </c>
      <c r="Y110" s="32">
        <v>3.3276650378841168</v>
      </c>
      <c r="Z110" s="32">
        <v>3.8690043273121151</v>
      </c>
      <c r="AA110" s="32"/>
      <c r="AB110" s="32">
        <v>1.9551909310788074</v>
      </c>
      <c r="AC110" s="32">
        <v>1.6377119883148592</v>
      </c>
      <c r="AD110" s="32">
        <v>1.5636133410398478</v>
      </c>
      <c r="AE110" s="32">
        <v>1.6265273293279261</v>
      </c>
      <c r="AF110" s="32">
        <v>1.6253832281117762</v>
      </c>
      <c r="AG110" s="32">
        <v>1.3476260573517365</v>
      </c>
      <c r="AH110" s="32">
        <v>1.465329919291855</v>
      </c>
      <c r="AI110" s="32">
        <v>1.1504407078285916</v>
      </c>
      <c r="AJ110" s="32">
        <v>1.4173888819560225</v>
      </c>
      <c r="AK110" s="32">
        <v>1.322372818468873</v>
      </c>
      <c r="AL110" s="32">
        <v>1.7317768942028355</v>
      </c>
      <c r="AM110" s="26">
        <v>1.9021465547384266</v>
      </c>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row>
    <row r="111" spans="1:131">
      <c r="A111" s="7" t="s">
        <v>621</v>
      </c>
      <c r="B111" s="7"/>
      <c r="C111" s="32">
        <v>68.562066880880366</v>
      </c>
      <c r="D111" s="32">
        <v>0</v>
      </c>
      <c r="E111" s="32">
        <v>0</v>
      </c>
      <c r="F111" s="32">
        <v>0</v>
      </c>
      <c r="G111" s="32">
        <v>0</v>
      </c>
      <c r="H111" s="32">
        <v>160.41491905829861</v>
      </c>
      <c r="I111" s="32">
        <v>0</v>
      </c>
      <c r="J111" s="32">
        <v>-10.98754733667197</v>
      </c>
      <c r="K111" s="32">
        <v>-134.16702760464855</v>
      </c>
      <c r="L111" s="30">
        <v>9999</v>
      </c>
      <c r="M111" s="32">
        <v>0.67015828801699007</v>
      </c>
      <c r="N111" s="32">
        <v>1.3268380300690299E-2</v>
      </c>
      <c r="O111" s="32">
        <v>4.5333195837422968</v>
      </c>
      <c r="P111" s="32">
        <v>4.0610917488864722</v>
      </c>
      <c r="Q111" s="32">
        <v>4.6718066927566548</v>
      </c>
      <c r="R111" s="32">
        <v>4.0516436742261437</v>
      </c>
      <c r="S111" s="32">
        <v>3.8645587368795637</v>
      </c>
      <c r="T111" s="32">
        <v>3.7678699611599864</v>
      </c>
      <c r="U111" s="32">
        <v>3.188877478151217</v>
      </c>
      <c r="V111" s="32">
        <v>3.3349023724222464</v>
      </c>
      <c r="W111" s="32">
        <v>3.1286247642434293</v>
      </c>
      <c r="X111" s="32">
        <v>3.777249151986021</v>
      </c>
      <c r="Y111" s="32">
        <v>3.871532855380178</v>
      </c>
      <c r="Z111" s="32">
        <v>4.5013477018471981</v>
      </c>
      <c r="AA111" s="32"/>
      <c r="AB111" s="32">
        <v>2.2747439547058668</v>
      </c>
      <c r="AC111" s="32">
        <v>1.905376802721265</v>
      </c>
      <c r="AD111" s="32">
        <v>1.8191676007137088</v>
      </c>
      <c r="AE111" s="32">
        <v>1.8923641424170692</v>
      </c>
      <c r="AF111" s="32">
        <v>1.8910330512772526</v>
      </c>
      <c r="AG111" s="32">
        <v>1.5678797290009545</v>
      </c>
      <c r="AH111" s="32">
        <v>1.7048209065288624</v>
      </c>
      <c r="AI111" s="32">
        <v>1.3384667470489338</v>
      </c>
      <c r="AJ111" s="32">
        <v>1.6490444689807191</v>
      </c>
      <c r="AK111" s="32">
        <v>1.5384991444388927</v>
      </c>
      <c r="AL111" s="32">
        <v>2.0148155141112505</v>
      </c>
      <c r="AM111" s="26">
        <v>2.2130300972541823</v>
      </c>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row>
    <row r="112" spans="1:131">
      <c r="A112" s="7" t="s">
        <v>624</v>
      </c>
      <c r="B112" s="7"/>
      <c r="C112" s="32">
        <v>71.364755458902735</v>
      </c>
      <c r="D112" s="32">
        <v>0</v>
      </c>
      <c r="E112" s="32">
        <v>0</v>
      </c>
      <c r="F112" s="32">
        <v>0</v>
      </c>
      <c r="G112" s="32">
        <v>0</v>
      </c>
      <c r="H112" s="32">
        <v>162.3284176766058</v>
      </c>
      <c r="I112" s="32">
        <v>0</v>
      </c>
      <c r="J112" s="32">
        <v>-10.987547336671966</v>
      </c>
      <c r="K112" s="32">
        <v>-129.37879763441686</v>
      </c>
      <c r="L112" s="30">
        <v>9999</v>
      </c>
      <c r="M112" s="32">
        <v>0.69755310069898613</v>
      </c>
      <c r="N112" s="32">
        <v>1.3810766777781352E-2</v>
      </c>
      <c r="O112" s="32">
        <v>4.7186331776272974</v>
      </c>
      <c r="P112" s="32">
        <v>4.2271015554268745</v>
      </c>
      <c r="Q112" s="32">
        <v>4.8627813796672239</v>
      </c>
      <c r="R112" s="32">
        <v>4.217267261211922</v>
      </c>
      <c r="S112" s="32">
        <v>4.0225346428534454</v>
      </c>
      <c r="T112" s="32">
        <v>3.9218934115026363</v>
      </c>
      <c r="U112" s="32">
        <v>3.319232802769057</v>
      </c>
      <c r="V112" s="32">
        <v>3.4712269205757682</v>
      </c>
      <c r="W112" s="32">
        <v>3.2565170710330933</v>
      </c>
      <c r="X112" s="32">
        <v>3.9316560060414685</v>
      </c>
      <c r="Y112" s="32">
        <v>4.0297938502253947</v>
      </c>
      <c r="Z112" s="32">
        <v>4.6853543452232387</v>
      </c>
      <c r="AA112" s="32"/>
      <c r="AB112" s="32">
        <v>2.3677312170481208</v>
      </c>
      <c r="AC112" s="32">
        <v>1.9832650293275851</v>
      </c>
      <c r="AD112" s="32">
        <v>1.8935317569881531</v>
      </c>
      <c r="AE112" s="32">
        <v>1.9697204358996749</v>
      </c>
      <c r="AF112" s="32">
        <v>1.9683349322530075</v>
      </c>
      <c r="AG112" s="32">
        <v>1.6319717088389953</v>
      </c>
      <c r="AH112" s="32">
        <v>1.7745107846155839</v>
      </c>
      <c r="AI112" s="32">
        <v>1.3931807548768238</v>
      </c>
      <c r="AJ112" s="32">
        <v>1.7164543110132393</v>
      </c>
      <c r="AK112" s="32">
        <v>1.6013901011381362</v>
      </c>
      <c r="AL112" s="32">
        <v>2.0971773897827175</v>
      </c>
      <c r="AM112" s="26">
        <v>2.3034946129632865</v>
      </c>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row>
    <row r="113" spans="1:131">
      <c r="A113" s="7" t="s">
        <v>622</v>
      </c>
      <c r="B113" s="7"/>
      <c r="C113" s="32">
        <v>84.141098214387171</v>
      </c>
      <c r="D113" s="32">
        <v>0</v>
      </c>
      <c r="E113" s="32">
        <v>0</v>
      </c>
      <c r="F113" s="32">
        <v>0</v>
      </c>
      <c r="G113" s="32">
        <v>0</v>
      </c>
      <c r="H113" s="32">
        <v>207.73052053428282</v>
      </c>
      <c r="I113" s="32">
        <v>0</v>
      </c>
      <c r="J113" s="32">
        <v>-10.987547336671966</v>
      </c>
      <c r="K113" s="32">
        <v>-143.66876563424663</v>
      </c>
      <c r="L113" s="30">
        <v>9999</v>
      </c>
      <c r="M113" s="32">
        <v>0.85085504234080034</v>
      </c>
      <c r="N113" s="32">
        <v>1.628329105022289E-2</v>
      </c>
      <c r="O113" s="32">
        <v>5.5634041633484603</v>
      </c>
      <c r="P113" s="32">
        <v>4.9838742506752505</v>
      </c>
      <c r="Q113" s="32">
        <v>5.7333590373934422</v>
      </c>
      <c r="R113" s="32">
        <v>4.9722793350885786</v>
      </c>
      <c r="S113" s="32">
        <v>4.7426839800497591</v>
      </c>
      <c r="T113" s="32">
        <v>4.6240250751456164</v>
      </c>
      <c r="U113" s="32">
        <v>3.9134708927159396</v>
      </c>
      <c r="V113" s="32">
        <v>4.0926763269971298</v>
      </c>
      <c r="W113" s="32">
        <v>3.839527242105075</v>
      </c>
      <c r="X113" s="32">
        <v>4.6355354547529872</v>
      </c>
      <c r="Y113" s="32">
        <v>4.7512427942223017</v>
      </c>
      <c r="Z113" s="32">
        <v>5.5241674632748143</v>
      </c>
      <c r="AA113" s="32"/>
      <c r="AB113" s="32">
        <v>2.7916231702586645</v>
      </c>
      <c r="AC113" s="32">
        <v>2.3383264826558623</v>
      </c>
      <c r="AD113" s="32">
        <v>2.2325283749981053</v>
      </c>
      <c r="AE113" s="32">
        <v>2.3223570176368442</v>
      </c>
      <c r="AF113" s="32">
        <v>2.320723469008239</v>
      </c>
      <c r="AG113" s="32">
        <v>1.9241415591425954</v>
      </c>
      <c r="AH113" s="32">
        <v>2.0921992270654211</v>
      </c>
      <c r="AI113" s="32">
        <v>1.6426001598785167</v>
      </c>
      <c r="AJ113" s="32">
        <v>2.02374897573416</v>
      </c>
      <c r="AK113" s="32">
        <v>1.8880849645313567</v>
      </c>
      <c r="AL113" s="32">
        <v>2.4726324302802127</v>
      </c>
      <c r="AM113" s="26">
        <v>2.7158863674278422</v>
      </c>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row>
    <row r="114" spans="1:131">
      <c r="A114" s="7" t="s">
        <v>625</v>
      </c>
      <c r="B114" s="7"/>
      <c r="C114" s="32">
        <v>87.580628345785399</v>
      </c>
      <c r="D114" s="32">
        <v>0</v>
      </c>
      <c r="E114" s="32">
        <v>0</v>
      </c>
      <c r="F114" s="32">
        <v>0</v>
      </c>
      <c r="G114" s="32">
        <v>0</v>
      </c>
      <c r="H114" s="32">
        <v>210.15114125388376</v>
      </c>
      <c r="I114" s="32">
        <v>0</v>
      </c>
      <c r="J114" s="32">
        <v>-10.987547336671971</v>
      </c>
      <c r="K114" s="32">
        <v>-138.56814270757619</v>
      </c>
      <c r="L114" s="30">
        <v>9999</v>
      </c>
      <c r="M114" s="32">
        <v>0.88563639910567793</v>
      </c>
      <c r="N114" s="32">
        <v>1.6948921418665028E-2</v>
      </c>
      <c r="O114" s="32">
        <v>5.7908256810023788</v>
      </c>
      <c r="P114" s="32">
        <v>5.1876056734886289</v>
      </c>
      <c r="Q114" s="32">
        <v>5.9677279912308805</v>
      </c>
      <c r="R114" s="32">
        <v>5.1755367795206695</v>
      </c>
      <c r="S114" s="32">
        <v>4.9365559974022917</v>
      </c>
      <c r="T114" s="32">
        <v>4.8130465392318174</v>
      </c>
      <c r="U114" s="32">
        <v>4.0734462357944166</v>
      </c>
      <c r="V114" s="32">
        <v>4.2599772517948988</v>
      </c>
      <c r="W114" s="32">
        <v>3.9964799075658477</v>
      </c>
      <c r="X114" s="32">
        <v>4.8250274415483458</v>
      </c>
      <c r="Y114" s="32">
        <v>4.9454646798301845</v>
      </c>
      <c r="Z114" s="32">
        <v>5.7499850582913554</v>
      </c>
      <c r="AA114" s="32"/>
      <c r="AB114" s="32">
        <v>2.9057394845614448</v>
      </c>
      <c r="AC114" s="32">
        <v>2.4339128793730618</v>
      </c>
      <c r="AD114" s="32">
        <v>2.3237899436959868</v>
      </c>
      <c r="AE114" s="32">
        <v>2.417290612604591</v>
      </c>
      <c r="AF114" s="32">
        <v>2.4155902875748168</v>
      </c>
      <c r="AG114" s="32">
        <v>2.0027968537631131</v>
      </c>
      <c r="AH114" s="32">
        <v>2.1777244036449339</v>
      </c>
      <c r="AI114" s="32">
        <v>1.7097465706532653</v>
      </c>
      <c r="AJ114" s="32">
        <v>2.1064760345454006</v>
      </c>
      <c r="AK114" s="32">
        <v>1.9652663332555782</v>
      </c>
      <c r="AL114" s="32">
        <v>2.5737090019949256</v>
      </c>
      <c r="AM114" s="26">
        <v>2.8269067034165691</v>
      </c>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row>
    <row r="115" spans="1:131">
      <c r="A115" s="7" t="s">
        <v>614</v>
      </c>
      <c r="B115" s="7"/>
      <c r="C115" s="32">
        <v>186.98267334641028</v>
      </c>
      <c r="D115" s="32">
        <v>25.872</v>
      </c>
      <c r="E115" s="32">
        <v>5.1744000000000003</v>
      </c>
      <c r="F115" s="32">
        <v>31.046399999999998</v>
      </c>
      <c r="G115" s="32">
        <v>49.268024649468316</v>
      </c>
      <c r="H115" s="32">
        <v>735.3333597248602</v>
      </c>
      <c r="I115" s="32">
        <v>1454.5008857379312</v>
      </c>
      <c r="J115" s="32">
        <v>-3.2192595736606369</v>
      </c>
      <c r="K115" s="32">
        <v>-231.84961524302932</v>
      </c>
      <c r="L115" s="30">
        <v>14.92516424103875</v>
      </c>
      <c r="M115" s="32">
        <v>1.7763484831262344</v>
      </c>
      <c r="N115" s="32">
        <v>3.9445477611198661E-2</v>
      </c>
      <c r="O115" s="32">
        <v>14.532342798891818</v>
      </c>
      <c r="P115" s="32">
        <v>13.097471830233236</v>
      </c>
      <c r="Q115" s="32">
        <v>14.659036467535334</v>
      </c>
      <c r="R115" s="32">
        <v>11.502867272316417</v>
      </c>
      <c r="S115" s="32">
        <v>9.5555758595819142</v>
      </c>
      <c r="T115" s="32">
        <v>8.081811432865619</v>
      </c>
      <c r="U115" s="32">
        <v>6.9010966600759422</v>
      </c>
      <c r="V115" s="32">
        <v>7.0396350562747934</v>
      </c>
      <c r="W115" s="32">
        <v>6.9904705483474627</v>
      </c>
      <c r="X115" s="32">
        <v>9.3773334499331291</v>
      </c>
      <c r="Y115" s="32">
        <v>10.376578782798427</v>
      </c>
      <c r="Z115" s="32">
        <v>14.147327899417421</v>
      </c>
      <c r="AA115" s="32"/>
      <c r="AB115" s="32">
        <v>7.6412499332619008</v>
      </c>
      <c r="AC115" s="32">
        <v>6.4353046617725349</v>
      </c>
      <c r="AD115" s="32">
        <v>5.8977151351041881</v>
      </c>
      <c r="AE115" s="32">
        <v>5.4934593048825624</v>
      </c>
      <c r="AF115" s="32">
        <v>4.6671024354099417</v>
      </c>
      <c r="AG115" s="32">
        <v>3.5228576351058751</v>
      </c>
      <c r="AH115" s="32">
        <v>3.7000347452330451</v>
      </c>
      <c r="AI115" s="32">
        <v>3.0630486441228895</v>
      </c>
      <c r="AJ115" s="32">
        <v>3.6736062657579009</v>
      </c>
      <c r="AK115" s="32">
        <v>3.8726515254318787</v>
      </c>
      <c r="AL115" s="32">
        <v>5.3938713640329476</v>
      </c>
      <c r="AM115" s="26">
        <v>7.3602236380230961</v>
      </c>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row>
    <row r="116" spans="1:131">
      <c r="A116" s="7" t="s">
        <v>615</v>
      </c>
      <c r="B116" s="7"/>
      <c r="C116" s="32">
        <v>172.41674324464179</v>
      </c>
      <c r="D116" s="32">
        <v>25.872</v>
      </c>
      <c r="E116" s="32">
        <v>5.1744000000000003</v>
      </c>
      <c r="F116" s="32">
        <v>31.046399999999998</v>
      </c>
      <c r="G116" s="32">
        <v>49.268024649468316</v>
      </c>
      <c r="H116" s="32">
        <v>675.82648772218545</v>
      </c>
      <c r="I116" s="32">
        <v>1577.3785009620979</v>
      </c>
      <c r="J116" s="32">
        <v>-1.4895093913809481</v>
      </c>
      <c r="K116" s="32">
        <v>-229.40191815461955</v>
      </c>
      <c r="L116" s="30">
        <v>13.717344921590614</v>
      </c>
      <c r="M116" s="32">
        <v>1.6379744079163399</v>
      </c>
      <c r="N116" s="32">
        <v>3.3366714622985523E-2</v>
      </c>
      <c r="O116" s="32">
        <v>11.400184304157397</v>
      </c>
      <c r="P116" s="32">
        <v>10.212647389659635</v>
      </c>
      <c r="Q116" s="32">
        <v>11.748445338339842</v>
      </c>
      <c r="R116" s="32">
        <v>10.188887804557041</v>
      </c>
      <c r="S116" s="32">
        <v>9.7184151791697744</v>
      </c>
      <c r="T116" s="32">
        <v>9.4752666777273511</v>
      </c>
      <c r="U116" s="32">
        <v>8.0192429196200941</v>
      </c>
      <c r="V116" s="32">
        <v>8.3864596306710713</v>
      </c>
      <c r="W116" s="32">
        <v>7.8677221563723778</v>
      </c>
      <c r="X116" s="32">
        <v>9.4988530369207602</v>
      </c>
      <c r="Y116" s="32">
        <v>9.7359533727158816</v>
      </c>
      <c r="Z116" s="32">
        <v>11.319782881001167</v>
      </c>
      <c r="AA116" s="32"/>
      <c r="AB116" s="32">
        <v>5.7204218342372473</v>
      </c>
      <c r="AC116" s="32">
        <v>4.7915542503970459</v>
      </c>
      <c r="AD116" s="32">
        <v>4.5747593005935805</v>
      </c>
      <c r="AE116" s="32">
        <v>4.7588306087002996</v>
      </c>
      <c r="AF116" s="32">
        <v>4.7554832417125494</v>
      </c>
      <c r="AG116" s="32">
        <v>3.9428320786084941</v>
      </c>
      <c r="AH116" s="32">
        <v>4.2872054751466973</v>
      </c>
      <c r="AI116" s="32">
        <v>3.3659148267565131</v>
      </c>
      <c r="AJ116" s="32">
        <v>4.1469414465177579</v>
      </c>
      <c r="AK116" s="32">
        <v>3.868947131213083</v>
      </c>
      <c r="AL116" s="32">
        <v>5.0667657056691668</v>
      </c>
      <c r="AM116" s="26">
        <v>5.5652266541769624</v>
      </c>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row>
    <row r="117" spans="1:131">
      <c r="A117" s="7" t="s">
        <v>617</v>
      </c>
      <c r="B117" s="7"/>
      <c r="C117" s="32">
        <v>94.936534263098281</v>
      </c>
      <c r="D117" s="32">
        <v>25.872</v>
      </c>
      <c r="E117" s="32">
        <v>5.1744000000000003</v>
      </c>
      <c r="F117" s="32">
        <v>31.046399999999998</v>
      </c>
      <c r="G117" s="32">
        <v>49.268024649468316</v>
      </c>
      <c r="H117" s="32">
        <v>372.82921381113385</v>
      </c>
      <c r="I117" s="32">
        <v>2864.718689290863</v>
      </c>
      <c r="J117" s="32">
        <v>6.2620898283287936</v>
      </c>
      <c r="K117" s="32">
        <v>-212.78769031163665</v>
      </c>
      <c r="L117" s="30">
        <v>7.5673667954771009</v>
      </c>
      <c r="M117" s="32">
        <v>1.2796604907184792</v>
      </c>
      <c r="N117" s="32">
        <v>1.8372463059213542E-2</v>
      </c>
      <c r="O117" s="32">
        <v>6.2771977212306407</v>
      </c>
      <c r="P117" s="32">
        <v>5.6233132036931348</v>
      </c>
      <c r="Q117" s="32">
        <v>6.4689580745581079</v>
      </c>
      <c r="R117" s="32">
        <v>5.610230642088494</v>
      </c>
      <c r="S117" s="32">
        <v>5.3511778396785044</v>
      </c>
      <c r="T117" s="32">
        <v>5.2172948095051757</v>
      </c>
      <c r="U117" s="32">
        <v>4.4155754010640775</v>
      </c>
      <c r="V117" s="32">
        <v>4.6177731761444676</v>
      </c>
      <c r="W117" s="32">
        <v>4.3321446630688305</v>
      </c>
      <c r="X117" s="32">
        <v>5.2302819890305976</v>
      </c>
      <c r="Y117" s="32">
        <v>5.360834763253151</v>
      </c>
      <c r="Z117" s="32">
        <v>6.2329268904480255</v>
      </c>
      <c r="AA117" s="32"/>
      <c r="AB117" s="32">
        <v>3.1497928405646141</v>
      </c>
      <c r="AC117" s="32">
        <v>2.6383374706299012</v>
      </c>
      <c r="AD117" s="32">
        <v>2.5189652983410427</v>
      </c>
      <c r="AE117" s="32">
        <v>2.6203190979783053</v>
      </c>
      <c r="AF117" s="32">
        <v>2.6184759624756659</v>
      </c>
      <c r="AG117" s="32">
        <v>2.1710119660092295</v>
      </c>
      <c r="AH117" s="32">
        <v>2.3606316986668618</v>
      </c>
      <c r="AI117" s="32">
        <v>1.8533483596986504</v>
      </c>
      <c r="AJ117" s="32">
        <v>2.2833991717717383</v>
      </c>
      <c r="AK117" s="32">
        <v>2.1303292532521572</v>
      </c>
      <c r="AL117" s="32">
        <v>2.7898750838648665</v>
      </c>
      <c r="AM117" s="26">
        <v>3.0643388860820417</v>
      </c>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row>
    <row r="118" spans="1:131">
      <c r="A118" s="7" t="s">
        <v>619</v>
      </c>
      <c r="B118" s="7"/>
      <c r="C118" s="32">
        <v>141.19769879304073</v>
      </c>
      <c r="D118" s="32">
        <v>25.872</v>
      </c>
      <c r="E118" s="32">
        <v>5.1744000000000003</v>
      </c>
      <c r="F118" s="32">
        <v>31.046399999999998</v>
      </c>
      <c r="G118" s="32">
        <v>49.268024649468316</v>
      </c>
      <c r="H118" s="32">
        <v>365.55980363266525</v>
      </c>
      <c r="I118" s="32">
        <v>1926.1394932408384</v>
      </c>
      <c r="J118" s="32">
        <v>-0.37933156158583631</v>
      </c>
      <c r="K118" s="32">
        <v>-126.69575479929152</v>
      </c>
      <c r="L118" s="30">
        <v>7.4198185584574734</v>
      </c>
      <c r="M118" s="32">
        <v>1.4277574325595022</v>
      </c>
      <c r="N118" s="32">
        <v>2.9786774179740256E-2</v>
      </c>
      <c r="O118" s="32">
        <v>10.973922473948493</v>
      </c>
      <c r="P118" s="32">
        <v>9.8903970583919989</v>
      </c>
      <c r="Q118" s="32">
        <v>11.069593661786152</v>
      </c>
      <c r="R118" s="32">
        <v>8.6862507595227978</v>
      </c>
      <c r="S118" s="32">
        <v>7.2157772582258408</v>
      </c>
      <c r="T118" s="32">
        <v>6.1028819193627193</v>
      </c>
      <c r="U118" s="32">
        <v>5.2112794737179824</v>
      </c>
      <c r="V118" s="32">
        <v>5.3158950639631612</v>
      </c>
      <c r="W118" s="32">
        <v>5.2787690818740591</v>
      </c>
      <c r="X118" s="32">
        <v>7.0811796635967985</v>
      </c>
      <c r="Y118" s="32">
        <v>7.8357476618245059</v>
      </c>
      <c r="Z118" s="32">
        <v>10.683183140544569</v>
      </c>
      <c r="AA118" s="32"/>
      <c r="AB118" s="32">
        <v>5.7701972443200704</v>
      </c>
      <c r="AC118" s="32">
        <v>4.8595422934777162</v>
      </c>
      <c r="AD118" s="32">
        <v>4.4535880801684229</v>
      </c>
      <c r="AE118" s="32">
        <v>4.1483191911884507</v>
      </c>
      <c r="AF118" s="32">
        <v>3.5243058199859196</v>
      </c>
      <c r="AG118" s="32">
        <v>2.6602432319004636</v>
      </c>
      <c r="AH118" s="32">
        <v>2.7940363785114881</v>
      </c>
      <c r="AI118" s="32">
        <v>2.3130240471000234</v>
      </c>
      <c r="AJ118" s="32">
        <v>2.7740792326556463</v>
      </c>
      <c r="AK118" s="32">
        <v>2.9243858472667297</v>
      </c>
      <c r="AL118" s="32">
        <v>4.0731165650635583</v>
      </c>
      <c r="AM118" s="26">
        <v>5.5579836446431639</v>
      </c>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row>
    <row r="119" spans="1:131">
      <c r="A119" s="7" t="s">
        <v>618</v>
      </c>
      <c r="B119" s="7"/>
      <c r="C119" s="32">
        <v>114.9679001881766</v>
      </c>
      <c r="D119" s="32">
        <v>25.872</v>
      </c>
      <c r="E119" s="32">
        <v>5.1744000000000003</v>
      </c>
      <c r="F119" s="32">
        <v>31.046399999999998</v>
      </c>
      <c r="G119" s="32">
        <v>49.268024649468316</v>
      </c>
      <c r="H119" s="32">
        <v>280.45739037942769</v>
      </c>
      <c r="I119" s="32">
        <v>2365.5860771124117</v>
      </c>
      <c r="J119" s="32">
        <v>3.2566092240783928</v>
      </c>
      <c r="K119" s="32">
        <v>-109.97334429276586</v>
      </c>
      <c r="L119" s="30">
        <v>5.6924829516674018</v>
      </c>
      <c r="M119" s="32">
        <v>1.1237509992351498</v>
      </c>
      <c r="N119" s="32">
        <v>2.2249005776311039E-2</v>
      </c>
      <c r="O119" s="32">
        <v>7.6016703861961883</v>
      </c>
      <c r="P119" s="32">
        <v>6.8098179077971865</v>
      </c>
      <c r="Q119" s="32">
        <v>7.8338916836400641</v>
      </c>
      <c r="R119" s="32">
        <v>6.7939749591532035</v>
      </c>
      <c r="S119" s="32">
        <v>6.4802626779738439</v>
      </c>
      <c r="T119" s="32">
        <v>6.3181306708457843</v>
      </c>
      <c r="U119" s="32">
        <v>5.3472505176568834</v>
      </c>
      <c r="V119" s="32">
        <v>5.5921115061493767</v>
      </c>
      <c r="W119" s="32">
        <v>5.2462161073224856</v>
      </c>
      <c r="X119" s="32">
        <v>6.3338581120357773</v>
      </c>
      <c r="Y119" s="32">
        <v>6.4919571877247257</v>
      </c>
      <c r="Z119" s="32">
        <v>7.5480585233430721</v>
      </c>
      <c r="AA119" s="32"/>
      <c r="AB119" s="32">
        <v>3.8143910741875837</v>
      </c>
      <c r="AC119" s="32">
        <v>3.1950199292666461</v>
      </c>
      <c r="AD119" s="32">
        <v>3.0504605339245114</v>
      </c>
      <c r="AE119" s="32">
        <v>3.1731997260683582</v>
      </c>
      <c r="AF119" s="32">
        <v>3.1709676936885631</v>
      </c>
      <c r="AG119" s="32">
        <v>2.6290899383769069</v>
      </c>
      <c r="AH119" s="32">
        <v>2.8587189496643468</v>
      </c>
      <c r="AI119" s="32">
        <v>2.2444001235736861</v>
      </c>
      <c r="AJ119" s="32">
        <v>2.765190557119996</v>
      </c>
      <c r="AK119" s="32">
        <v>2.5798232772759508</v>
      </c>
      <c r="AL119" s="32">
        <v>3.3785315913299612</v>
      </c>
      <c r="AM119" s="26">
        <v>3.710906553861502</v>
      </c>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row>
    <row r="120" spans="1:131">
      <c r="A120" s="7"/>
      <c r="B120" s="7"/>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row>
  </sheetData>
  <mergeCells count="3">
    <mergeCell ref="I6:N6"/>
    <mergeCell ref="O6:P6"/>
    <mergeCell ref="R6:T6"/>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sheetPr codeName="Sheet8"/>
  <dimension ref="A2:DA31"/>
  <sheetViews>
    <sheetView workbookViewId="0">
      <selection activeCell="H21" sqref="H21:H31"/>
    </sheetView>
  </sheetViews>
  <sheetFormatPr defaultRowHeight="12.75"/>
  <cols>
    <col min="1" max="1" width="51.140625" customWidth="1"/>
    <col min="2" max="2" width="44.85546875" customWidth="1"/>
  </cols>
  <sheetData>
    <row r="2" spans="1:105">
      <c r="A2" t="s">
        <v>324</v>
      </c>
    </row>
    <row r="4" spans="1:105" s="7" customFormat="1">
      <c r="A4" s="11">
        <v>1</v>
      </c>
      <c r="B4" s="11">
        <v>2</v>
      </c>
      <c r="C4" s="11">
        <v>3</v>
      </c>
      <c r="D4" s="11">
        <v>4</v>
      </c>
      <c r="E4" s="11">
        <v>5</v>
      </c>
      <c r="F4" s="11">
        <v>6</v>
      </c>
      <c r="G4" s="11">
        <v>7</v>
      </c>
      <c r="H4" s="11">
        <v>8</v>
      </c>
      <c r="I4" s="11">
        <v>9</v>
      </c>
      <c r="J4" s="11">
        <v>10</v>
      </c>
      <c r="K4" s="11">
        <v>11</v>
      </c>
      <c r="L4" s="11">
        <v>12</v>
      </c>
      <c r="M4" s="11">
        <v>13</v>
      </c>
      <c r="N4" s="11">
        <v>14</v>
      </c>
      <c r="O4" s="11">
        <v>15</v>
      </c>
      <c r="P4" s="11">
        <v>16</v>
      </c>
      <c r="Q4" s="11">
        <v>17</v>
      </c>
      <c r="R4" s="11">
        <v>18</v>
      </c>
      <c r="S4" s="11">
        <v>19</v>
      </c>
      <c r="T4" s="11">
        <v>20</v>
      </c>
      <c r="U4" s="11">
        <v>21</v>
      </c>
      <c r="V4" s="11">
        <v>22</v>
      </c>
      <c r="W4" s="11">
        <v>23</v>
      </c>
      <c r="X4" s="11">
        <v>24</v>
      </c>
      <c r="Y4" s="11">
        <v>25</v>
      </c>
      <c r="Z4" s="11">
        <v>26</v>
      </c>
      <c r="AA4" s="11">
        <v>27</v>
      </c>
      <c r="AB4" s="11">
        <v>28</v>
      </c>
      <c r="AC4" s="11">
        <v>29</v>
      </c>
      <c r="AD4" s="11">
        <v>30</v>
      </c>
      <c r="AE4" s="11">
        <v>31</v>
      </c>
      <c r="AF4" s="11">
        <v>32</v>
      </c>
      <c r="AG4" s="11">
        <v>33</v>
      </c>
      <c r="AH4" s="11">
        <v>34</v>
      </c>
      <c r="AI4" s="11">
        <v>35</v>
      </c>
      <c r="AJ4" s="11">
        <v>36</v>
      </c>
      <c r="AK4" s="11">
        <v>37</v>
      </c>
      <c r="AL4" s="11">
        <v>38</v>
      </c>
      <c r="AM4" s="11">
        <v>39</v>
      </c>
      <c r="AN4" s="11">
        <v>40</v>
      </c>
      <c r="AO4" s="11">
        <v>41</v>
      </c>
      <c r="AP4" s="11">
        <v>42</v>
      </c>
      <c r="AQ4" s="11">
        <v>43</v>
      </c>
      <c r="AR4" s="11">
        <v>44</v>
      </c>
      <c r="AS4" s="11">
        <v>45</v>
      </c>
      <c r="AT4" s="11">
        <v>46</v>
      </c>
      <c r="AU4" s="11">
        <v>47</v>
      </c>
      <c r="AV4" s="11">
        <v>48</v>
      </c>
      <c r="AW4" s="11">
        <v>49</v>
      </c>
      <c r="AX4" s="11">
        <v>50</v>
      </c>
      <c r="AY4" s="11">
        <v>51</v>
      </c>
      <c r="AZ4" s="11">
        <v>52</v>
      </c>
      <c r="BA4" s="11">
        <v>53</v>
      </c>
      <c r="BB4" s="11">
        <v>54</v>
      </c>
      <c r="BC4" s="11">
        <v>55</v>
      </c>
      <c r="BD4" s="11">
        <v>56</v>
      </c>
      <c r="BE4" s="11">
        <v>57</v>
      </c>
      <c r="BF4" s="11">
        <v>58</v>
      </c>
      <c r="BG4" s="11">
        <v>59</v>
      </c>
      <c r="BH4" s="11">
        <v>60</v>
      </c>
      <c r="BI4" s="11">
        <v>61</v>
      </c>
      <c r="BJ4" s="11">
        <v>62</v>
      </c>
      <c r="BK4" s="11">
        <v>63</v>
      </c>
      <c r="BL4" s="11">
        <v>64</v>
      </c>
      <c r="BM4" s="11">
        <v>65</v>
      </c>
      <c r="BN4" s="11">
        <v>66</v>
      </c>
      <c r="BO4" s="11">
        <v>67</v>
      </c>
      <c r="BP4" s="11">
        <v>68</v>
      </c>
      <c r="BQ4" s="11">
        <v>69</v>
      </c>
      <c r="BR4" s="11">
        <v>70</v>
      </c>
      <c r="BS4" s="11">
        <v>71</v>
      </c>
      <c r="BT4" s="11">
        <v>72</v>
      </c>
      <c r="BU4" s="11">
        <v>73</v>
      </c>
      <c r="BV4" s="11">
        <v>74</v>
      </c>
      <c r="BW4" s="11">
        <v>75</v>
      </c>
      <c r="BX4" s="11">
        <v>76</v>
      </c>
      <c r="BY4" s="11">
        <v>77</v>
      </c>
      <c r="BZ4" s="11">
        <v>78</v>
      </c>
      <c r="CA4" s="11">
        <v>79</v>
      </c>
      <c r="CB4" s="11">
        <v>80</v>
      </c>
      <c r="CC4" s="11">
        <v>81</v>
      </c>
      <c r="CD4" s="11">
        <v>82</v>
      </c>
      <c r="CE4" s="11">
        <v>83</v>
      </c>
      <c r="CF4" s="11">
        <v>84</v>
      </c>
      <c r="CG4" s="11">
        <v>85</v>
      </c>
      <c r="CH4" s="11">
        <v>86</v>
      </c>
      <c r="CI4" s="11">
        <v>87</v>
      </c>
      <c r="CJ4" s="11">
        <v>88</v>
      </c>
      <c r="CK4" s="11">
        <v>89</v>
      </c>
      <c r="CL4" s="11">
        <v>90</v>
      </c>
      <c r="CM4" s="11">
        <v>91</v>
      </c>
      <c r="CN4" s="11">
        <v>92</v>
      </c>
      <c r="CO4" s="11">
        <v>93</v>
      </c>
      <c r="CP4" s="11">
        <v>94</v>
      </c>
      <c r="CQ4" s="11">
        <v>95</v>
      </c>
      <c r="CR4" s="11">
        <v>96</v>
      </c>
      <c r="CS4" s="11">
        <v>97</v>
      </c>
      <c r="CT4" s="11">
        <v>98</v>
      </c>
      <c r="CU4" s="11">
        <v>99</v>
      </c>
      <c r="CV4" s="11">
        <v>100</v>
      </c>
      <c r="CW4" s="11">
        <v>101</v>
      </c>
      <c r="CX4" s="11">
        <v>102</v>
      </c>
      <c r="CY4" s="11">
        <v>103</v>
      </c>
      <c r="CZ4" s="11">
        <v>104</v>
      </c>
      <c r="DA4" s="11">
        <v>105</v>
      </c>
    </row>
    <row r="5" spans="1:105" s="7" customFormat="1">
      <c r="A5" s="12" t="s">
        <v>3</v>
      </c>
      <c r="B5" s="13"/>
      <c r="C5" s="13"/>
      <c r="D5" s="13"/>
      <c r="E5" s="13"/>
      <c r="F5" s="13"/>
      <c r="G5" s="14"/>
      <c r="H5" s="95"/>
      <c r="I5" s="338" t="s">
        <v>4</v>
      </c>
      <c r="J5" s="339"/>
      <c r="K5" s="339"/>
      <c r="L5" s="339"/>
      <c r="M5" s="339"/>
      <c r="N5" s="340"/>
      <c r="O5" s="341" t="s">
        <v>5</v>
      </c>
      <c r="P5" s="342"/>
      <c r="Q5" s="16"/>
      <c r="R5" s="17"/>
      <c r="S5" s="17"/>
      <c r="T5" s="17"/>
      <c r="U5" s="17"/>
      <c r="V5" s="17"/>
      <c r="W5" s="17"/>
      <c r="X5" s="18"/>
      <c r="Y5" s="19"/>
      <c r="Z5" s="17"/>
      <c r="AA5" s="17"/>
      <c r="AB5" s="17"/>
      <c r="AC5" s="17"/>
      <c r="AD5" s="17"/>
      <c r="AE5" s="20"/>
      <c r="AF5" s="20"/>
      <c r="AG5" s="20"/>
      <c r="AH5" s="20"/>
      <c r="AI5" s="20"/>
      <c r="AJ5" s="20"/>
      <c r="AK5" s="20"/>
      <c r="AL5" s="20"/>
      <c r="AM5" s="20"/>
      <c r="AN5" s="20"/>
      <c r="AO5" s="20"/>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row>
    <row r="6" spans="1:105" s="7" customFormat="1" ht="38.25">
      <c r="A6" s="96" t="s">
        <v>6</v>
      </c>
      <c r="B6" s="96" t="s">
        <v>7</v>
      </c>
      <c r="C6" s="96" t="s">
        <v>8</v>
      </c>
      <c r="D6" s="96" t="s">
        <v>9</v>
      </c>
      <c r="E6" s="96" t="s">
        <v>10</v>
      </c>
      <c r="F6" s="96" t="s">
        <v>11</v>
      </c>
      <c r="G6" s="97" t="s">
        <v>12</v>
      </c>
      <c r="H6" s="97" t="s">
        <v>13</v>
      </c>
      <c r="I6" s="97" t="s">
        <v>14</v>
      </c>
      <c r="J6" s="97" t="s">
        <v>15</v>
      </c>
      <c r="K6" s="97" t="s">
        <v>16</v>
      </c>
      <c r="L6" s="97" t="s">
        <v>17</v>
      </c>
      <c r="M6" s="97" t="s">
        <v>18</v>
      </c>
      <c r="N6" s="97" t="s">
        <v>19</v>
      </c>
      <c r="O6" s="98" t="s">
        <v>20</v>
      </c>
      <c r="P6" s="97" t="s">
        <v>12</v>
      </c>
      <c r="Q6" s="23"/>
      <c r="R6" s="23"/>
      <c r="S6" s="23"/>
      <c r="T6" s="23"/>
      <c r="U6" s="23"/>
      <c r="V6" s="23"/>
      <c r="W6" s="23"/>
      <c r="X6" s="23"/>
      <c r="Y6" s="23"/>
      <c r="Z6" s="23"/>
      <c r="AA6" s="23"/>
      <c r="AB6" s="23"/>
      <c r="AC6" s="23"/>
      <c r="AD6" s="23"/>
      <c r="AE6" s="20"/>
      <c r="AF6" s="20"/>
      <c r="AG6" s="20"/>
      <c r="AH6" s="20"/>
      <c r="AI6" s="20"/>
      <c r="AJ6" s="20"/>
      <c r="AK6" s="20"/>
      <c r="AL6" s="20"/>
      <c r="AM6" s="20"/>
      <c r="AN6" s="20"/>
      <c r="AO6" s="20"/>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c r="A7" t="str">
        <f>Raw!A8</f>
        <v>SF Showerhead Replacement_2_00gpm_Any Shower_ Any Water Heating</v>
      </c>
      <c r="B7" t="str">
        <f>Raw!B8</f>
        <v>SF Showerhead Replacement_2_00gpm_Any Shower_ Any Water Heating</v>
      </c>
      <c r="C7">
        <f>Raw!C8</f>
        <v>88.321577464866834</v>
      </c>
      <c r="D7">
        <f>Raw!D8</f>
        <v>10</v>
      </c>
      <c r="E7">
        <f>Raw!E8</f>
        <v>25.872</v>
      </c>
      <c r="F7">
        <f>Raw!F8</f>
        <v>0</v>
      </c>
      <c r="G7" t="str">
        <f>Raw!G8</f>
        <v>ResDHW</v>
      </c>
      <c r="H7">
        <f>Raw!H8</f>
        <v>21.052951449599988</v>
      </c>
      <c r="I7">
        <f>Raw!I8</f>
        <v>0</v>
      </c>
      <c r="J7">
        <f>Raw!J8</f>
        <v>0</v>
      </c>
      <c r="K7">
        <f>Raw!K8</f>
        <v>0</v>
      </c>
      <c r="L7">
        <f>Raw!L8</f>
        <v>0</v>
      </c>
      <c r="M7">
        <f>Raw!M8</f>
        <v>0</v>
      </c>
      <c r="N7">
        <f>Raw!N8</f>
        <v>0</v>
      </c>
      <c r="O7">
        <f>Raw!O8</f>
        <v>3.1967078341804047</v>
      </c>
      <c r="P7" t="str">
        <f>Raw!P8</f>
        <v>ResGASDHW</v>
      </c>
    </row>
    <row r="8" spans="1:105">
      <c r="A8" t="str">
        <f>Raw!A9</f>
        <v>SF Showerhead Replacement_1_75gpm_Any Shower_ Any Water Heating</v>
      </c>
      <c r="B8" t="str">
        <f>Raw!B9</f>
        <v>SF Showerhead Replacement_1_75gpm_Any Shower_ Any Water Heating</v>
      </c>
      <c r="C8" s="76">
        <f>Raw!C9-C7</f>
        <v>52.671309915720371</v>
      </c>
      <c r="D8">
        <f>Raw!D9</f>
        <v>10</v>
      </c>
      <c r="E8" s="233">
        <f>Raw!E9-E7</f>
        <v>0</v>
      </c>
      <c r="F8">
        <f>Raw!F9</f>
        <v>0</v>
      </c>
      <c r="G8" t="str">
        <f>Raw!G9</f>
        <v>ResDHW</v>
      </c>
      <c r="H8">
        <f>Raw!H9-H7</f>
        <v>11.84228519040002</v>
      </c>
      <c r="I8">
        <f>Raw!I9</f>
        <v>0</v>
      </c>
      <c r="J8">
        <f>Raw!J9</f>
        <v>0</v>
      </c>
      <c r="K8">
        <f>Raw!K9</f>
        <v>0</v>
      </c>
      <c r="L8">
        <f>Raw!L9</f>
        <v>0</v>
      </c>
      <c r="M8">
        <f>Raw!M9</f>
        <v>0</v>
      </c>
      <c r="N8">
        <f>Raw!N9</f>
        <v>0</v>
      </c>
      <c r="O8">
        <f>Raw!O9-O7</f>
        <v>1.9063833989050316</v>
      </c>
      <c r="P8" t="str">
        <f>Raw!P9</f>
        <v>ResGASDHW</v>
      </c>
    </row>
    <row r="9" spans="1:105">
      <c r="A9" t="str">
        <f>Raw!A10</f>
        <v>SF Showerhead Replacement_1_50gpm_Any Shower_ Any Water Heating</v>
      </c>
      <c r="B9" t="str">
        <f>Raw!B10</f>
        <v>SF Showerhead Replacement_1_50gpm_Any Shower_ Any Water Heating</v>
      </c>
      <c r="C9" s="76">
        <f>Raw!C10-C8-C7</f>
        <v>54.82441418176802</v>
      </c>
      <c r="D9">
        <f>Raw!D10</f>
        <v>10</v>
      </c>
      <c r="E9" s="233">
        <f>Raw!E10-E7</f>
        <v>0</v>
      </c>
      <c r="F9">
        <f>Raw!F10</f>
        <v>0</v>
      </c>
      <c r="G9" t="str">
        <f>Raw!G10</f>
        <v>ResDHW</v>
      </c>
      <c r="H9">
        <f>Raw!H10-H8-H7</f>
        <v>11.842285190399991</v>
      </c>
      <c r="I9">
        <f>Raw!I10</f>
        <v>0</v>
      </c>
      <c r="J9">
        <f>Raw!J10</f>
        <v>0</v>
      </c>
      <c r="K9">
        <f>Raw!K10</f>
        <v>0</v>
      </c>
      <c r="L9">
        <f>Raw!L10</f>
        <v>0</v>
      </c>
      <c r="M9">
        <f>Raw!M10</f>
        <v>0</v>
      </c>
      <c r="N9">
        <f>Raw!N10</f>
        <v>0</v>
      </c>
      <c r="O9">
        <f>Raw!O10-O8-O7</f>
        <v>1.9843127732736008</v>
      </c>
      <c r="P9" t="str">
        <f>Raw!P10</f>
        <v>ResGASDHW</v>
      </c>
    </row>
    <row r="10" spans="1:105">
      <c r="A10" t="str">
        <f>Raw!A11</f>
        <v>MF Showerhead Replacement_2_00gpm_Any Shower_ Any Water Heating</v>
      </c>
      <c r="B10" t="str">
        <f>Raw!B11</f>
        <v>MF Showerhead Replacement_2_00gpm_Any Shower_ Any Water Heating</v>
      </c>
      <c r="C10">
        <f>Raw!C11</f>
        <v>106.9572044235664</v>
      </c>
      <c r="D10">
        <f>Raw!D11</f>
        <v>10</v>
      </c>
      <c r="E10">
        <f>Raw!E11</f>
        <v>25.872</v>
      </c>
      <c r="F10">
        <f>Raw!F11</f>
        <v>0</v>
      </c>
      <c r="G10" t="str">
        <f>Raw!G11</f>
        <v>ResDHW</v>
      </c>
      <c r="H10">
        <f>Raw!H11</f>
        <v>14.860906905600018</v>
      </c>
      <c r="I10">
        <f>Raw!I11</f>
        <v>0</v>
      </c>
      <c r="J10">
        <f>Raw!J11</f>
        <v>0</v>
      </c>
      <c r="K10">
        <f>Raw!K11</f>
        <v>0</v>
      </c>
      <c r="L10">
        <f>Raw!L11</f>
        <v>0</v>
      </c>
      <c r="M10">
        <f>Raw!M11</f>
        <v>0</v>
      </c>
      <c r="N10">
        <f>Raw!N11</f>
        <v>0</v>
      </c>
      <c r="O10">
        <f>Raw!O11</f>
        <v>0.26695196724510795</v>
      </c>
      <c r="P10" t="str">
        <f>Raw!P11</f>
        <v>ResGASDHW</v>
      </c>
    </row>
    <row r="11" spans="1:105">
      <c r="A11" t="str">
        <f>Raw!A12</f>
        <v>MF Showerhead Replacement_1_75gpm_Any Shower_ Any Water Heating</v>
      </c>
      <c r="B11" t="str">
        <f>Raw!B12</f>
        <v>MF Showerhead Replacement_1_75gpm_Any Shower_ Any Water Heating</v>
      </c>
      <c r="C11" s="76">
        <f>Raw!C12-C10</f>
        <v>63.784821598704866</v>
      </c>
      <c r="D11">
        <f>Raw!D12</f>
        <v>10</v>
      </c>
      <c r="E11" s="233">
        <f>Raw!E12-E10</f>
        <v>0</v>
      </c>
      <c r="F11">
        <f>Raw!F12</f>
        <v>0</v>
      </c>
      <c r="G11" t="str">
        <f>Raw!G12</f>
        <v>ResDHW</v>
      </c>
      <c r="H11">
        <f>Raw!H12-H10</f>
        <v>8.3592601343999959</v>
      </c>
      <c r="I11">
        <f>Raw!I12</f>
        <v>0</v>
      </c>
      <c r="J11">
        <f>Raw!J12</f>
        <v>0</v>
      </c>
      <c r="K11">
        <f>Raw!K12</f>
        <v>0</v>
      </c>
      <c r="L11">
        <f>Raw!L12</f>
        <v>0</v>
      </c>
      <c r="M11">
        <f>Raw!M12</f>
        <v>0</v>
      </c>
      <c r="N11">
        <f>Raw!N12</f>
        <v>0</v>
      </c>
      <c r="O11">
        <f>Raw!O12-O10</f>
        <v>0.15919903383713296</v>
      </c>
      <c r="P11" t="str">
        <f>Raw!P12</f>
        <v>ResGASDHW</v>
      </c>
    </row>
    <row r="12" spans="1:105">
      <c r="A12" t="str">
        <f>Raw!A13</f>
        <v>MF Showerhead Replacement_1_50gpm_Any Shower_ Any Water Heating</v>
      </c>
      <c r="B12" t="str">
        <f>Raw!B13</f>
        <v>MF Showerhead Replacement_1_50gpm_Any Shower_ Any Water Heating</v>
      </c>
      <c r="C12" s="76">
        <f>Raw!C13-C11-C10</f>
        <v>66.392225358228018</v>
      </c>
      <c r="D12">
        <f>Raw!D13</f>
        <v>10</v>
      </c>
      <c r="E12" s="233">
        <f>Raw!E13-E10</f>
        <v>0</v>
      </c>
      <c r="F12">
        <f>Raw!F13</f>
        <v>0</v>
      </c>
      <c r="G12" t="str">
        <f>Raw!G13</f>
        <v>ResDHW</v>
      </c>
      <c r="H12">
        <f>Raw!H13-H11-H10</f>
        <v>8.359260134400003</v>
      </c>
      <c r="I12">
        <f>Raw!I13</f>
        <v>0</v>
      </c>
      <c r="J12">
        <f>Raw!J13</f>
        <v>0</v>
      </c>
      <c r="K12">
        <f>Raw!K13</f>
        <v>0</v>
      </c>
      <c r="L12">
        <f>Raw!L13</f>
        <v>0</v>
      </c>
      <c r="M12">
        <f>Raw!M13</f>
        <v>0</v>
      </c>
      <c r="N12">
        <f>Raw!N13</f>
        <v>0</v>
      </c>
      <c r="O12">
        <f>Raw!O13-O11-O10</f>
        <v>0.16570679146560008</v>
      </c>
      <c r="P12" t="str">
        <f>Raw!P13</f>
        <v>ResGASDHW</v>
      </c>
    </row>
    <row r="13" spans="1:105">
      <c r="A13" t="str">
        <f>Raw!A14</f>
        <v>MH Showerhead Replacement_2_00gpm_Any Shower_ Any Water Heating</v>
      </c>
      <c r="B13" t="str">
        <f>Raw!B14</f>
        <v>MH Showerhead Replacement_2_00gpm_Any Shower_ Any Water Heating</v>
      </c>
      <c r="C13">
        <f>Raw!C14</f>
        <v>131.26057966973667</v>
      </c>
      <c r="D13">
        <f>Raw!D14</f>
        <v>10</v>
      </c>
      <c r="E13">
        <f>Raw!E14</f>
        <v>25.872</v>
      </c>
      <c r="F13">
        <f>Raw!F14</f>
        <v>0</v>
      </c>
      <c r="G13" t="str">
        <f>Raw!G14</f>
        <v>ResDHW</v>
      </c>
      <c r="H13">
        <f>Raw!H14</f>
        <v>19.427539756800016</v>
      </c>
      <c r="I13">
        <f>Raw!I14</f>
        <v>0</v>
      </c>
      <c r="J13">
        <f>Raw!J14</f>
        <v>0</v>
      </c>
      <c r="K13">
        <f>Raw!K14</f>
        <v>0</v>
      </c>
      <c r="L13">
        <f>Raw!L14</f>
        <v>0</v>
      </c>
      <c r="M13">
        <f>Raw!M14</f>
        <v>0</v>
      </c>
      <c r="N13">
        <f>Raw!N14</f>
        <v>0</v>
      </c>
      <c r="O13">
        <f>Raw!O14</f>
        <v>0.73089119098033972</v>
      </c>
      <c r="P13" t="str">
        <f>Raw!P14</f>
        <v>ResGASDHW</v>
      </c>
    </row>
    <row r="14" spans="1:105">
      <c r="A14" t="str">
        <f>Raw!A15</f>
        <v>MH Showerhead Replacement_1_75gpm_Any Shower_ Any Water Heating</v>
      </c>
      <c r="B14" t="str">
        <f>Raw!B15</f>
        <v>MH Showerhead Replacement_1_75gpm_Any Shower_ Any Water Heating</v>
      </c>
      <c r="C14" s="76">
        <f>Raw!C15-C13</f>
        <v>78.278342279970616</v>
      </c>
      <c r="D14">
        <f>Raw!D15</f>
        <v>10</v>
      </c>
      <c r="E14" s="233">
        <f>Raw!E15-E13</f>
        <v>0</v>
      </c>
      <c r="F14">
        <f>Raw!F15</f>
        <v>0</v>
      </c>
      <c r="G14" t="str">
        <f>Raw!G15</f>
        <v>ResDHW</v>
      </c>
      <c r="H14">
        <f>Raw!H15-H13</f>
        <v>10.927991113200008</v>
      </c>
      <c r="I14">
        <f>Raw!I15</f>
        <v>0</v>
      </c>
      <c r="J14">
        <f>Raw!J15</f>
        <v>0</v>
      </c>
      <c r="K14">
        <f>Raw!K15</f>
        <v>0</v>
      </c>
      <c r="L14">
        <f>Raw!L15</f>
        <v>0</v>
      </c>
      <c r="M14">
        <f>Raw!M15</f>
        <v>0</v>
      </c>
      <c r="N14">
        <f>Raw!N15</f>
        <v>0</v>
      </c>
      <c r="O14">
        <f>Raw!O15-O13</f>
        <v>0.43587306227755018</v>
      </c>
      <c r="P14" t="str">
        <f>Raw!P15</f>
        <v>ResGASDHW</v>
      </c>
    </row>
    <row r="15" spans="1:105">
      <c r="A15" t="str">
        <f>Raw!A16</f>
        <v>MH Showerhead Replacement_1_50gpm_Any Shower_ Any Water Heating</v>
      </c>
      <c r="B15" t="str">
        <f>Raw!B16</f>
        <v>MH Showerhead Replacement_1_50gpm_Any Shower_ Any Water Heating</v>
      </c>
      <c r="C15" s="76">
        <f>Raw!C16-C14-C13</f>
        <v>81.478213955306387</v>
      </c>
      <c r="D15">
        <f>Raw!D16</f>
        <v>10</v>
      </c>
      <c r="E15" s="233">
        <f>Raw!E16-E13</f>
        <v>0</v>
      </c>
      <c r="F15">
        <f>Raw!F16</f>
        <v>0</v>
      </c>
      <c r="G15" t="str">
        <f>Raw!G16</f>
        <v>ResDHW</v>
      </c>
      <c r="H15">
        <f>Raw!H16-H14-H13</f>
        <v>10.92799111319998</v>
      </c>
      <c r="I15">
        <f>Raw!I16</f>
        <v>0</v>
      </c>
      <c r="J15">
        <f>Raw!J16</f>
        <v>0</v>
      </c>
      <c r="K15">
        <f>Raw!K16</f>
        <v>0</v>
      </c>
      <c r="L15">
        <f>Raw!L16</f>
        <v>0</v>
      </c>
      <c r="M15">
        <f>Raw!M16</f>
        <v>0</v>
      </c>
      <c r="N15">
        <f>Raw!N16</f>
        <v>0</v>
      </c>
      <c r="O15">
        <f>Raw!O16-O14-O13</f>
        <v>0.45369073477034982</v>
      </c>
      <c r="P15" t="str">
        <f>Raw!P16</f>
        <v>ResGASDHW</v>
      </c>
    </row>
    <row r="18" spans="1:105">
      <c r="A18" t="s">
        <v>616</v>
      </c>
    </row>
    <row r="19" spans="1:105" s="7" customFormat="1">
      <c r="A19" s="12" t="s">
        <v>3</v>
      </c>
      <c r="B19" s="13"/>
      <c r="C19" s="13"/>
      <c r="D19" s="13"/>
      <c r="E19" s="13"/>
      <c r="F19" s="13"/>
      <c r="G19" s="14"/>
      <c r="H19" s="95"/>
      <c r="I19" s="338" t="s">
        <v>4</v>
      </c>
      <c r="J19" s="339"/>
      <c r="K19" s="339"/>
      <c r="L19" s="339"/>
      <c r="M19" s="339"/>
      <c r="N19" s="340"/>
      <c r="O19" s="341" t="s">
        <v>5</v>
      </c>
      <c r="P19" s="342"/>
      <c r="Q19" s="16"/>
      <c r="R19" s="17"/>
      <c r="S19" s="17"/>
      <c r="T19" s="17"/>
      <c r="U19" s="17"/>
      <c r="V19" s="17"/>
      <c r="W19" s="17"/>
      <c r="X19" s="18"/>
      <c r="Y19" s="19"/>
      <c r="Z19" s="17"/>
      <c r="AA19" s="17"/>
      <c r="AB19" s="17"/>
      <c r="AC19" s="17"/>
      <c r="AD19" s="17"/>
      <c r="AE19" s="20"/>
      <c r="AF19" s="20"/>
      <c r="AG19" s="20"/>
      <c r="AH19" s="20"/>
      <c r="AI19" s="20"/>
      <c r="AJ19" s="20"/>
      <c r="AK19" s="20"/>
      <c r="AL19" s="20"/>
      <c r="AM19" s="20"/>
      <c r="AN19" s="20"/>
      <c r="AO19" s="20"/>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row>
    <row r="20" spans="1:105" s="7" customFormat="1" ht="38.25">
      <c r="A20" s="96" t="s">
        <v>6</v>
      </c>
      <c r="B20" s="96" t="s">
        <v>7</v>
      </c>
      <c r="C20" s="96" t="s">
        <v>8</v>
      </c>
      <c r="D20" s="96" t="s">
        <v>9</v>
      </c>
      <c r="E20" s="96" t="s">
        <v>10</v>
      </c>
      <c r="F20" s="96" t="s">
        <v>11</v>
      </c>
      <c r="G20" s="97" t="s">
        <v>12</v>
      </c>
      <c r="H20" s="97" t="s">
        <v>13</v>
      </c>
      <c r="I20" s="97" t="s">
        <v>14</v>
      </c>
      <c r="J20" s="97" t="s">
        <v>15</v>
      </c>
      <c r="K20" s="97" t="s">
        <v>16</v>
      </c>
      <c r="L20" s="97" t="s">
        <v>17</v>
      </c>
      <c r="M20" s="97" t="s">
        <v>18</v>
      </c>
      <c r="N20" s="97" t="s">
        <v>19</v>
      </c>
      <c r="O20" s="98" t="s">
        <v>20</v>
      </c>
      <c r="P20" s="97" t="s">
        <v>12</v>
      </c>
      <c r="Q20" s="23"/>
      <c r="R20" s="23"/>
      <c r="S20" s="23"/>
      <c r="T20" s="23"/>
      <c r="U20" s="23"/>
      <c r="V20" s="23"/>
      <c r="W20" s="23"/>
      <c r="X20" s="23"/>
      <c r="Y20" s="23"/>
      <c r="Z20" s="23"/>
      <c r="AA20" s="23"/>
      <c r="AB20" s="23"/>
      <c r="AC20" s="23"/>
      <c r="AD20" s="23"/>
      <c r="AE20" s="20"/>
      <c r="AF20" s="20"/>
      <c r="AG20" s="20"/>
      <c r="AH20" s="20"/>
      <c r="AI20" s="20"/>
      <c r="AJ20" s="20"/>
      <c r="AK20" s="20"/>
      <c r="AL20" s="20"/>
      <c r="AM20" s="20"/>
      <c r="AN20" s="20"/>
      <c r="AO20" s="20"/>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row>
    <row r="21" spans="1:105">
      <c r="A21" t="s">
        <v>617</v>
      </c>
      <c r="B21" t="str">
        <f>A21</f>
        <v>SF Showerhead Replace_2_00gpm_Any Shower_ AnyWH</v>
      </c>
      <c r="C21" s="38">
        <f t="shared" ref="C21:P21" si="0">C7</f>
        <v>88.321577464866834</v>
      </c>
      <c r="D21">
        <f t="shared" si="0"/>
        <v>10</v>
      </c>
      <c r="E21" s="38">
        <f t="shared" si="0"/>
        <v>25.872</v>
      </c>
      <c r="F21">
        <f t="shared" si="0"/>
        <v>0</v>
      </c>
      <c r="G21" t="str">
        <f t="shared" si="0"/>
        <v>ResDHW</v>
      </c>
      <c r="H21" s="38">
        <f t="shared" si="0"/>
        <v>21.052951449599988</v>
      </c>
      <c r="I21">
        <f t="shared" si="0"/>
        <v>0</v>
      </c>
      <c r="J21">
        <f t="shared" si="0"/>
        <v>0</v>
      </c>
      <c r="K21">
        <f t="shared" si="0"/>
        <v>0</v>
      </c>
      <c r="L21">
        <f t="shared" si="0"/>
        <v>0</v>
      </c>
      <c r="M21">
        <f t="shared" si="0"/>
        <v>0</v>
      </c>
      <c r="N21">
        <f t="shared" si="0"/>
        <v>0</v>
      </c>
      <c r="O21">
        <f t="shared" si="0"/>
        <v>3.1967078341804047</v>
      </c>
      <c r="P21" t="str">
        <f t="shared" si="0"/>
        <v>ResGASDHW</v>
      </c>
    </row>
    <row r="22" spans="1:105">
      <c r="A22" t="s">
        <v>620</v>
      </c>
      <c r="B22" t="str">
        <f t="shared" ref="B22:B31" si="1">A22</f>
        <v>SF Showerhead Replace_1_75gpm_Any Shower_ AnyWH</v>
      </c>
      <c r="C22" s="38">
        <f t="shared" ref="C22:P23" si="2">C8</f>
        <v>52.671309915720371</v>
      </c>
      <c r="D22">
        <f t="shared" si="2"/>
        <v>10</v>
      </c>
      <c r="E22" s="38">
        <f t="shared" si="2"/>
        <v>0</v>
      </c>
      <c r="F22">
        <f t="shared" si="2"/>
        <v>0</v>
      </c>
      <c r="G22" t="str">
        <f t="shared" si="2"/>
        <v>ResDHW</v>
      </c>
      <c r="H22" s="38">
        <f t="shared" si="2"/>
        <v>11.84228519040002</v>
      </c>
      <c r="I22">
        <f t="shared" si="2"/>
        <v>0</v>
      </c>
      <c r="J22">
        <f t="shared" si="2"/>
        <v>0</v>
      </c>
      <c r="K22">
        <f t="shared" si="2"/>
        <v>0</v>
      </c>
      <c r="L22">
        <f t="shared" si="2"/>
        <v>0</v>
      </c>
      <c r="M22">
        <f t="shared" si="2"/>
        <v>0</v>
      </c>
      <c r="N22">
        <f t="shared" si="2"/>
        <v>0</v>
      </c>
      <c r="O22">
        <f t="shared" si="2"/>
        <v>1.9063833989050316</v>
      </c>
      <c r="P22" t="str">
        <f t="shared" si="2"/>
        <v>ResGASDHW</v>
      </c>
    </row>
    <row r="23" spans="1:105">
      <c r="A23" t="s">
        <v>623</v>
      </c>
      <c r="B23" t="str">
        <f t="shared" si="1"/>
        <v>SF Showerhead Replace_1_50gpm_Any Shower_ AnyWH</v>
      </c>
      <c r="C23" s="38">
        <f t="shared" si="2"/>
        <v>54.82441418176802</v>
      </c>
      <c r="D23">
        <f t="shared" si="2"/>
        <v>10</v>
      </c>
      <c r="E23" s="38">
        <f t="shared" si="2"/>
        <v>0</v>
      </c>
      <c r="F23">
        <f t="shared" si="2"/>
        <v>0</v>
      </c>
      <c r="G23" t="str">
        <f t="shared" si="2"/>
        <v>ResDHW</v>
      </c>
      <c r="H23" s="38">
        <f t="shared" si="2"/>
        <v>11.842285190399991</v>
      </c>
      <c r="I23">
        <f t="shared" si="2"/>
        <v>0</v>
      </c>
      <c r="J23">
        <f t="shared" si="2"/>
        <v>0</v>
      </c>
      <c r="K23">
        <f t="shared" si="2"/>
        <v>0</v>
      </c>
      <c r="L23">
        <f t="shared" si="2"/>
        <v>0</v>
      </c>
      <c r="M23">
        <f t="shared" si="2"/>
        <v>0</v>
      </c>
      <c r="N23">
        <f t="shared" si="2"/>
        <v>0</v>
      </c>
      <c r="O23">
        <f t="shared" si="2"/>
        <v>1.9843127732736008</v>
      </c>
      <c r="P23" t="str">
        <f t="shared" si="2"/>
        <v>ResGASDHW</v>
      </c>
    </row>
    <row r="24" spans="1:105">
      <c r="A24" t="s">
        <v>614</v>
      </c>
      <c r="B24" t="str">
        <f t="shared" si="1"/>
        <v>SF Showerhead Replace_1_50GPM_any shower_HPWH</v>
      </c>
      <c r="C24" s="38">
        <f>Raw!C10*'SF Input Assumptions'!D12/'SF Input Assumptions'!G12/SFElecDHWSat</f>
        <v>173.82332928542399</v>
      </c>
      <c r="D24">
        <f>Raw!D10</f>
        <v>10</v>
      </c>
      <c r="E24" s="38">
        <f>Raw!E10</f>
        <v>25.872</v>
      </c>
      <c r="F24">
        <f>Raw!F10</f>
        <v>0</v>
      </c>
      <c r="G24" t="str">
        <f>Raw!G10</f>
        <v>ResDHW</v>
      </c>
      <c r="H24" s="38">
        <f>Raw!H10</f>
        <v>44.737521830399999</v>
      </c>
      <c r="I24">
        <f>Raw!I10</f>
        <v>0</v>
      </c>
      <c r="J24">
        <f>Raw!J10</f>
        <v>0</v>
      </c>
      <c r="K24">
        <f>Raw!K10</f>
        <v>0</v>
      </c>
      <c r="L24">
        <f>Raw!L10</f>
        <v>0</v>
      </c>
      <c r="M24">
        <f>Raw!M10</f>
        <v>0</v>
      </c>
      <c r="N24">
        <f>Raw!N10</f>
        <v>0</v>
      </c>
      <c r="O24">
        <v>0</v>
      </c>
    </row>
    <row r="25" spans="1:105">
      <c r="A25" t="s">
        <v>618</v>
      </c>
      <c r="B25" t="str">
        <f t="shared" si="1"/>
        <v>MF Showerhead Replace_2_00gpm_Any Shower_ AnyWH</v>
      </c>
      <c r="C25" s="38">
        <f>C10</f>
        <v>106.9572044235664</v>
      </c>
      <c r="D25">
        <f t="shared" ref="D25:P25" si="3">D10</f>
        <v>10</v>
      </c>
      <c r="E25" s="38">
        <f t="shared" si="3"/>
        <v>25.872</v>
      </c>
      <c r="F25">
        <f t="shared" si="3"/>
        <v>0</v>
      </c>
      <c r="G25" t="str">
        <f t="shared" si="3"/>
        <v>ResDHW</v>
      </c>
      <c r="H25" s="38">
        <f t="shared" si="3"/>
        <v>14.860906905600018</v>
      </c>
      <c r="I25">
        <f t="shared" si="3"/>
        <v>0</v>
      </c>
      <c r="J25">
        <f t="shared" si="3"/>
        <v>0</v>
      </c>
      <c r="K25">
        <f t="shared" si="3"/>
        <v>0</v>
      </c>
      <c r="L25">
        <f t="shared" si="3"/>
        <v>0</v>
      </c>
      <c r="M25">
        <f t="shared" si="3"/>
        <v>0</v>
      </c>
      <c r="N25">
        <f t="shared" si="3"/>
        <v>0</v>
      </c>
      <c r="O25">
        <f t="shared" si="3"/>
        <v>0.26695196724510795</v>
      </c>
      <c r="P25" t="str">
        <f t="shared" si="3"/>
        <v>ResGASDHW</v>
      </c>
    </row>
    <row r="26" spans="1:105">
      <c r="A26" t="s">
        <v>621</v>
      </c>
      <c r="B26" t="str">
        <f t="shared" si="1"/>
        <v>MF Showerhead Replace_1_75gpm_Any Shower_ AnyWH</v>
      </c>
      <c r="C26" s="38">
        <f t="shared" ref="C26:P30" si="4">C11</f>
        <v>63.784821598704866</v>
      </c>
      <c r="D26">
        <f t="shared" si="4"/>
        <v>10</v>
      </c>
      <c r="E26" s="38">
        <f t="shared" si="4"/>
        <v>0</v>
      </c>
      <c r="F26">
        <f t="shared" si="4"/>
        <v>0</v>
      </c>
      <c r="G26" t="str">
        <f t="shared" si="4"/>
        <v>ResDHW</v>
      </c>
      <c r="H26" s="38">
        <f t="shared" si="4"/>
        <v>8.3592601343999959</v>
      </c>
      <c r="I26">
        <f t="shared" si="4"/>
        <v>0</v>
      </c>
      <c r="J26">
        <f t="shared" si="4"/>
        <v>0</v>
      </c>
      <c r="K26">
        <f t="shared" si="4"/>
        <v>0</v>
      </c>
      <c r="L26">
        <f t="shared" si="4"/>
        <v>0</v>
      </c>
      <c r="M26">
        <f t="shared" si="4"/>
        <v>0</v>
      </c>
      <c r="N26">
        <f t="shared" si="4"/>
        <v>0</v>
      </c>
      <c r="O26">
        <f t="shared" si="4"/>
        <v>0.15919903383713296</v>
      </c>
      <c r="P26" t="str">
        <f t="shared" si="4"/>
        <v>ResGASDHW</v>
      </c>
    </row>
    <row r="27" spans="1:105">
      <c r="A27" t="s">
        <v>624</v>
      </c>
      <c r="B27" t="str">
        <f t="shared" si="1"/>
        <v>MF Showerhead Replace_1_50gpm_Any Shower_ AnyWH</v>
      </c>
      <c r="C27" s="38">
        <f t="shared" si="4"/>
        <v>66.392225358228018</v>
      </c>
      <c r="D27">
        <f t="shared" si="4"/>
        <v>10</v>
      </c>
      <c r="E27" s="38">
        <f t="shared" si="4"/>
        <v>0</v>
      </c>
      <c r="F27">
        <f t="shared" si="4"/>
        <v>0</v>
      </c>
      <c r="G27" t="str">
        <f t="shared" si="4"/>
        <v>ResDHW</v>
      </c>
      <c r="H27" s="38">
        <f t="shared" si="4"/>
        <v>8.359260134400003</v>
      </c>
      <c r="I27">
        <f t="shared" si="4"/>
        <v>0</v>
      </c>
      <c r="J27">
        <f t="shared" si="4"/>
        <v>0</v>
      </c>
      <c r="K27">
        <f t="shared" si="4"/>
        <v>0</v>
      </c>
      <c r="L27">
        <f t="shared" si="4"/>
        <v>0</v>
      </c>
      <c r="M27">
        <f t="shared" si="4"/>
        <v>0</v>
      </c>
      <c r="N27">
        <f t="shared" si="4"/>
        <v>0</v>
      </c>
      <c r="O27">
        <f t="shared" si="4"/>
        <v>0.16570679146560008</v>
      </c>
      <c r="P27" t="str">
        <f t="shared" si="4"/>
        <v>ResGASDHW</v>
      </c>
    </row>
    <row r="28" spans="1:105">
      <c r="A28" t="s">
        <v>619</v>
      </c>
      <c r="B28" t="str">
        <f t="shared" si="1"/>
        <v>MH Showerhead Replace_2_00gpm_Any Shower_ AnyWH</v>
      </c>
      <c r="C28" s="38">
        <f t="shared" si="4"/>
        <v>131.26057966973667</v>
      </c>
      <c r="D28">
        <f t="shared" si="4"/>
        <v>10</v>
      </c>
      <c r="E28" s="38">
        <f t="shared" si="4"/>
        <v>25.872</v>
      </c>
      <c r="F28">
        <f t="shared" si="4"/>
        <v>0</v>
      </c>
      <c r="G28" t="str">
        <f t="shared" si="4"/>
        <v>ResDHW</v>
      </c>
      <c r="H28" s="38">
        <f t="shared" si="4"/>
        <v>19.427539756800016</v>
      </c>
      <c r="I28">
        <f t="shared" si="4"/>
        <v>0</v>
      </c>
      <c r="J28">
        <f t="shared" si="4"/>
        <v>0</v>
      </c>
      <c r="K28">
        <f t="shared" si="4"/>
        <v>0</v>
      </c>
      <c r="L28">
        <f t="shared" si="4"/>
        <v>0</v>
      </c>
      <c r="M28">
        <f t="shared" si="4"/>
        <v>0</v>
      </c>
      <c r="N28">
        <f t="shared" si="4"/>
        <v>0</v>
      </c>
      <c r="O28">
        <f t="shared" si="4"/>
        <v>0.73089119098033972</v>
      </c>
      <c r="P28" t="str">
        <f t="shared" si="4"/>
        <v>ResGASDHW</v>
      </c>
    </row>
    <row r="29" spans="1:105">
      <c r="A29" t="s">
        <v>622</v>
      </c>
      <c r="B29" t="str">
        <f t="shared" si="1"/>
        <v>MH Showerhead Replace_1_75gpm_Any Shower_ AnyWH</v>
      </c>
      <c r="C29" s="38">
        <f t="shared" si="4"/>
        <v>78.278342279970616</v>
      </c>
      <c r="D29">
        <f t="shared" si="4"/>
        <v>10</v>
      </c>
      <c r="E29" s="38">
        <f t="shared" si="4"/>
        <v>0</v>
      </c>
      <c r="F29">
        <f t="shared" si="4"/>
        <v>0</v>
      </c>
      <c r="G29" t="str">
        <f t="shared" si="4"/>
        <v>ResDHW</v>
      </c>
      <c r="H29" s="38">
        <f t="shared" si="4"/>
        <v>10.927991113200008</v>
      </c>
      <c r="I29">
        <f t="shared" si="4"/>
        <v>0</v>
      </c>
      <c r="J29">
        <f t="shared" si="4"/>
        <v>0</v>
      </c>
      <c r="K29">
        <f t="shared" si="4"/>
        <v>0</v>
      </c>
      <c r="L29">
        <f t="shared" si="4"/>
        <v>0</v>
      </c>
      <c r="M29">
        <f t="shared" si="4"/>
        <v>0</v>
      </c>
      <c r="N29">
        <f t="shared" si="4"/>
        <v>0</v>
      </c>
      <c r="O29">
        <f t="shared" si="4"/>
        <v>0.43587306227755018</v>
      </c>
      <c r="P29" t="str">
        <f t="shared" si="4"/>
        <v>ResGASDHW</v>
      </c>
    </row>
    <row r="30" spans="1:105">
      <c r="A30" t="s">
        <v>625</v>
      </c>
      <c r="B30" t="str">
        <f t="shared" si="1"/>
        <v>MH Showerhead Replace_1_50gpm_Any Shower_ AnyWH</v>
      </c>
      <c r="C30" s="38">
        <f t="shared" si="4"/>
        <v>81.478213955306387</v>
      </c>
      <c r="D30">
        <f t="shared" si="4"/>
        <v>10</v>
      </c>
      <c r="E30" s="38">
        <f t="shared" si="4"/>
        <v>0</v>
      </c>
      <c r="F30">
        <f t="shared" si="4"/>
        <v>0</v>
      </c>
      <c r="G30" t="str">
        <f t="shared" si="4"/>
        <v>ResDHW</v>
      </c>
      <c r="H30" s="38">
        <f t="shared" si="4"/>
        <v>10.92799111319998</v>
      </c>
      <c r="I30">
        <f t="shared" si="4"/>
        <v>0</v>
      </c>
      <c r="J30">
        <f t="shared" si="4"/>
        <v>0</v>
      </c>
      <c r="K30">
        <f t="shared" si="4"/>
        <v>0</v>
      </c>
      <c r="L30">
        <f t="shared" si="4"/>
        <v>0</v>
      </c>
      <c r="M30">
        <f t="shared" si="4"/>
        <v>0</v>
      </c>
      <c r="N30">
        <f t="shared" si="4"/>
        <v>0</v>
      </c>
      <c r="O30">
        <f t="shared" si="4"/>
        <v>0.45369073477034982</v>
      </c>
      <c r="P30" t="str">
        <f t="shared" si="4"/>
        <v>ResGASDHW</v>
      </c>
    </row>
    <row r="31" spans="1:105">
      <c r="A31" t="s">
        <v>615</v>
      </c>
      <c r="B31" t="str">
        <f t="shared" si="1"/>
        <v>MH Showerhead Replace_1_50GPM_any shower_HPWH</v>
      </c>
      <c r="C31" s="38">
        <f>Raw!C16*'MH Input Assumptions'!D12/'MH Input Assumptions'!G12/'MH Input Assumptions'!MHElecDHWSat</f>
        <v>160.40314577441697</v>
      </c>
      <c r="D31">
        <f>Raw!D16</f>
        <v>10</v>
      </c>
      <c r="E31" s="38">
        <f>Raw!E16</f>
        <v>25.872</v>
      </c>
      <c r="F31">
        <f>Raw!F16</f>
        <v>0</v>
      </c>
      <c r="G31" t="str">
        <f>Raw!G16</f>
        <v>ResDHW</v>
      </c>
      <c r="H31" s="38">
        <f>Raw!H16</f>
        <v>41.283521983200004</v>
      </c>
      <c r="I31">
        <f>Raw!I16</f>
        <v>0</v>
      </c>
      <c r="J31">
        <f>Raw!J16</f>
        <v>0</v>
      </c>
      <c r="K31">
        <f>Raw!K16</f>
        <v>0</v>
      </c>
      <c r="L31">
        <f>Raw!L16</f>
        <v>0</v>
      </c>
      <c r="M31">
        <f>Raw!M16</f>
        <v>0</v>
      </c>
      <c r="N31">
        <f>Raw!N16</f>
        <v>0</v>
      </c>
      <c r="O31">
        <v>0</v>
      </c>
    </row>
  </sheetData>
  <mergeCells count="4">
    <mergeCell ref="I5:N5"/>
    <mergeCell ref="O5:P5"/>
    <mergeCell ref="I19:N19"/>
    <mergeCell ref="O19:P19"/>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sheetPr codeName="Sheet10"/>
  <dimension ref="A1:DA16"/>
  <sheetViews>
    <sheetView workbookViewId="0">
      <selection activeCell="C16" sqref="C16"/>
    </sheetView>
  </sheetViews>
  <sheetFormatPr defaultRowHeight="12.75"/>
  <cols>
    <col min="1" max="1" width="45.5703125" customWidth="1"/>
    <col min="2" max="2" width="34.140625" customWidth="1"/>
    <col min="15" max="15" width="9.85546875" customWidth="1"/>
  </cols>
  <sheetData>
    <row r="1" spans="1:105" s="92" customFormat="1" ht="14.25">
      <c r="A1" s="88" t="s">
        <v>0</v>
      </c>
      <c r="B1" s="89"/>
      <c r="C1" s="89"/>
      <c r="D1" s="89"/>
      <c r="E1" s="89"/>
      <c r="F1" s="89"/>
      <c r="G1" s="89"/>
      <c r="H1" s="89"/>
      <c r="I1" s="90"/>
      <c r="J1" s="90"/>
      <c r="K1" s="90"/>
      <c r="L1" s="90"/>
      <c r="M1" s="90"/>
      <c r="N1" s="91"/>
    </row>
    <row r="2" spans="1:105" s="92" customFormat="1">
      <c r="A2" s="93" t="s">
        <v>199</v>
      </c>
      <c r="B2" s="89"/>
      <c r="C2" s="89"/>
      <c r="D2" s="89"/>
      <c r="E2" s="89"/>
      <c r="F2" s="89"/>
      <c r="G2" s="89"/>
      <c r="H2" s="89"/>
      <c r="I2" s="90"/>
      <c r="J2" s="90"/>
      <c r="K2" s="90"/>
      <c r="L2" s="90"/>
      <c r="M2" s="90"/>
      <c r="N2" s="91"/>
      <c r="P2" s="94"/>
    </row>
    <row r="3" spans="1:105" s="7" customFormat="1">
      <c r="A3" s="8" t="s">
        <v>2</v>
      </c>
      <c r="C3" s="8">
        <v>2012</v>
      </c>
      <c r="J3" s="9"/>
      <c r="K3" s="10"/>
      <c r="CO3" s="10"/>
      <c r="CP3" s="10"/>
    </row>
    <row r="4" spans="1:105" s="7" customFormat="1"/>
    <row r="5" spans="1:105" s="7" customFormat="1">
      <c r="A5" s="11">
        <v>1</v>
      </c>
      <c r="B5" s="11">
        <v>2</v>
      </c>
      <c r="C5" s="11">
        <v>3</v>
      </c>
      <c r="D5" s="11">
        <v>4</v>
      </c>
      <c r="E5" s="11">
        <v>5</v>
      </c>
      <c r="F5" s="11">
        <v>6</v>
      </c>
      <c r="G5" s="11">
        <v>7</v>
      </c>
      <c r="H5" s="11">
        <v>8</v>
      </c>
      <c r="I5" s="11">
        <v>9</v>
      </c>
      <c r="J5" s="11">
        <v>10</v>
      </c>
      <c r="K5" s="11">
        <v>11</v>
      </c>
      <c r="L5" s="11">
        <v>12</v>
      </c>
      <c r="M5" s="11">
        <v>13</v>
      </c>
      <c r="N5" s="11">
        <v>14</v>
      </c>
      <c r="O5" s="11">
        <v>15</v>
      </c>
      <c r="P5" s="11">
        <v>16</v>
      </c>
      <c r="Q5" s="11">
        <v>17</v>
      </c>
      <c r="R5" s="11">
        <v>18</v>
      </c>
      <c r="S5" s="11">
        <v>19</v>
      </c>
      <c r="T5" s="11">
        <v>20</v>
      </c>
      <c r="U5" s="11">
        <v>21</v>
      </c>
      <c r="V5" s="11">
        <v>22</v>
      </c>
      <c r="W5" s="11">
        <v>23</v>
      </c>
      <c r="X5" s="11">
        <v>24</v>
      </c>
      <c r="Y5" s="11">
        <v>25</v>
      </c>
      <c r="Z5" s="11">
        <v>26</v>
      </c>
      <c r="AA5" s="11">
        <v>27</v>
      </c>
      <c r="AB5" s="11">
        <v>28</v>
      </c>
      <c r="AC5" s="11">
        <v>29</v>
      </c>
      <c r="AD5" s="11">
        <v>30</v>
      </c>
      <c r="AE5" s="11">
        <v>31</v>
      </c>
      <c r="AF5" s="11">
        <v>32</v>
      </c>
      <c r="AG5" s="11">
        <v>33</v>
      </c>
      <c r="AH5" s="11">
        <v>34</v>
      </c>
      <c r="AI5" s="11">
        <v>35</v>
      </c>
      <c r="AJ5" s="11">
        <v>36</v>
      </c>
      <c r="AK5" s="11">
        <v>37</v>
      </c>
      <c r="AL5" s="11">
        <v>38</v>
      </c>
      <c r="AM5" s="11">
        <v>39</v>
      </c>
      <c r="AN5" s="11">
        <v>40</v>
      </c>
      <c r="AO5" s="11">
        <v>41</v>
      </c>
      <c r="AP5" s="11">
        <v>42</v>
      </c>
      <c r="AQ5" s="11">
        <v>43</v>
      </c>
      <c r="AR5" s="11">
        <v>44</v>
      </c>
      <c r="AS5" s="11">
        <v>45</v>
      </c>
      <c r="AT5" s="11">
        <v>46</v>
      </c>
      <c r="AU5" s="11">
        <v>47</v>
      </c>
      <c r="AV5" s="11">
        <v>48</v>
      </c>
      <c r="AW5" s="11">
        <v>49</v>
      </c>
      <c r="AX5" s="11">
        <v>50</v>
      </c>
      <c r="AY5" s="11">
        <v>51</v>
      </c>
      <c r="AZ5" s="11">
        <v>52</v>
      </c>
      <c r="BA5" s="11">
        <v>53</v>
      </c>
      <c r="BB5" s="11">
        <v>54</v>
      </c>
      <c r="BC5" s="11">
        <v>55</v>
      </c>
      <c r="BD5" s="11">
        <v>56</v>
      </c>
      <c r="BE5" s="11">
        <v>57</v>
      </c>
      <c r="BF5" s="11">
        <v>58</v>
      </c>
      <c r="BG5" s="11">
        <v>59</v>
      </c>
      <c r="BH5" s="11">
        <v>60</v>
      </c>
      <c r="BI5" s="11">
        <v>61</v>
      </c>
      <c r="BJ5" s="11">
        <v>62</v>
      </c>
      <c r="BK5" s="11">
        <v>63</v>
      </c>
      <c r="BL5" s="11">
        <v>64</v>
      </c>
      <c r="BM5" s="11">
        <v>65</v>
      </c>
      <c r="BN5" s="11">
        <v>66</v>
      </c>
      <c r="BO5" s="11">
        <v>67</v>
      </c>
      <c r="BP5" s="11">
        <v>68</v>
      </c>
      <c r="BQ5" s="11">
        <v>69</v>
      </c>
      <c r="BR5" s="11">
        <v>70</v>
      </c>
      <c r="BS5" s="11">
        <v>71</v>
      </c>
      <c r="BT5" s="11">
        <v>72</v>
      </c>
      <c r="BU5" s="11">
        <v>73</v>
      </c>
      <c r="BV5" s="11">
        <v>74</v>
      </c>
      <c r="BW5" s="11">
        <v>75</v>
      </c>
      <c r="BX5" s="11">
        <v>76</v>
      </c>
      <c r="BY5" s="11">
        <v>77</v>
      </c>
      <c r="BZ5" s="11">
        <v>78</v>
      </c>
      <c r="CA5" s="11">
        <v>79</v>
      </c>
      <c r="CB5" s="11">
        <v>80</v>
      </c>
      <c r="CC5" s="11">
        <v>81</v>
      </c>
      <c r="CD5" s="11">
        <v>82</v>
      </c>
      <c r="CE5" s="11">
        <v>83</v>
      </c>
      <c r="CF5" s="11">
        <v>84</v>
      </c>
      <c r="CG5" s="11">
        <v>85</v>
      </c>
      <c r="CH5" s="11">
        <v>86</v>
      </c>
      <c r="CI5" s="11">
        <v>87</v>
      </c>
      <c r="CJ5" s="11">
        <v>88</v>
      </c>
      <c r="CK5" s="11">
        <v>89</v>
      </c>
      <c r="CL5" s="11">
        <v>90</v>
      </c>
      <c r="CM5" s="11">
        <v>91</v>
      </c>
      <c r="CN5" s="11">
        <v>92</v>
      </c>
      <c r="CO5" s="11">
        <v>93</v>
      </c>
      <c r="CP5" s="11">
        <v>94</v>
      </c>
      <c r="CQ5" s="11">
        <v>95</v>
      </c>
      <c r="CR5" s="11">
        <v>96</v>
      </c>
      <c r="CS5" s="11">
        <v>97</v>
      </c>
      <c r="CT5" s="11">
        <v>98</v>
      </c>
      <c r="CU5" s="11">
        <v>99</v>
      </c>
      <c r="CV5" s="11">
        <v>100</v>
      </c>
      <c r="CW5" s="11">
        <v>101</v>
      </c>
      <c r="CX5" s="11">
        <v>102</v>
      </c>
      <c r="CY5" s="11">
        <v>103</v>
      </c>
      <c r="CZ5" s="11">
        <v>104</v>
      </c>
      <c r="DA5" s="11">
        <v>105</v>
      </c>
    </row>
    <row r="6" spans="1:105" s="7" customFormat="1">
      <c r="A6" s="12" t="s">
        <v>3</v>
      </c>
      <c r="B6" s="13"/>
      <c r="C6" s="13"/>
      <c r="D6" s="13"/>
      <c r="E6" s="13"/>
      <c r="F6" s="13"/>
      <c r="G6" s="14"/>
      <c r="H6" s="95"/>
      <c r="I6" s="338" t="s">
        <v>4</v>
      </c>
      <c r="J6" s="339"/>
      <c r="K6" s="339"/>
      <c r="L6" s="339"/>
      <c r="M6" s="339"/>
      <c r="N6" s="340"/>
      <c r="O6" s="341" t="s">
        <v>5</v>
      </c>
      <c r="P6" s="342"/>
      <c r="Q6" s="16"/>
      <c r="R6" s="17"/>
      <c r="S6" s="17"/>
      <c r="T6" s="17"/>
      <c r="U6" s="17"/>
      <c r="V6" s="17"/>
      <c r="W6" s="17"/>
      <c r="X6" s="18"/>
      <c r="Y6" s="19"/>
      <c r="Z6" s="17"/>
      <c r="AA6" s="17"/>
      <c r="AB6" s="17"/>
      <c r="AC6" s="17"/>
      <c r="AD6" s="17"/>
      <c r="AE6" s="20"/>
      <c r="AF6" s="20"/>
      <c r="AG6" s="20"/>
      <c r="AH6" s="20"/>
      <c r="AI6" s="20"/>
      <c r="AJ6" s="20"/>
      <c r="AK6" s="20"/>
      <c r="AL6" s="20"/>
      <c r="AM6" s="20"/>
      <c r="AN6" s="20"/>
      <c r="AO6" s="20"/>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row>
    <row r="7" spans="1:105" s="7" customFormat="1" ht="38.25">
      <c r="A7" s="96" t="s">
        <v>6</v>
      </c>
      <c r="B7" s="96" t="s">
        <v>7</v>
      </c>
      <c r="C7" s="96" t="s">
        <v>8</v>
      </c>
      <c r="D7" s="96" t="s">
        <v>9</v>
      </c>
      <c r="E7" s="96" t="s">
        <v>10</v>
      </c>
      <c r="F7" s="96" t="s">
        <v>11</v>
      </c>
      <c r="G7" s="97" t="s">
        <v>12</v>
      </c>
      <c r="H7" s="97" t="s">
        <v>13</v>
      </c>
      <c r="I7" s="97" t="s">
        <v>14</v>
      </c>
      <c r="J7" s="97" t="s">
        <v>15</v>
      </c>
      <c r="K7" s="97" t="s">
        <v>16</v>
      </c>
      <c r="L7" s="97" t="s">
        <v>17</v>
      </c>
      <c r="M7" s="97" t="s">
        <v>18</v>
      </c>
      <c r="N7" s="97" t="s">
        <v>19</v>
      </c>
      <c r="O7" s="98" t="s">
        <v>20</v>
      </c>
      <c r="P7" s="97" t="s">
        <v>12</v>
      </c>
      <c r="Q7" s="23"/>
      <c r="R7" s="23"/>
      <c r="S7" s="23"/>
      <c r="T7" s="23"/>
      <c r="U7" s="23"/>
      <c r="V7" s="23"/>
      <c r="W7" s="23"/>
      <c r="X7" s="23"/>
      <c r="Y7" s="23"/>
      <c r="Z7" s="23"/>
      <c r="AA7" s="23"/>
      <c r="AB7" s="23"/>
      <c r="AC7" s="23"/>
      <c r="AD7" s="23"/>
      <c r="AE7" s="20"/>
      <c r="AF7" s="20"/>
      <c r="AG7" s="20"/>
      <c r="AH7" s="20"/>
      <c r="AI7" s="20"/>
      <c r="AJ7" s="20"/>
      <c r="AK7" s="20"/>
      <c r="AL7" s="20"/>
      <c r="AM7" s="20"/>
      <c r="AN7" s="20"/>
      <c r="AO7" s="20"/>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row>
    <row r="8" spans="1:105">
      <c r="A8" t="s">
        <v>605</v>
      </c>
      <c r="B8" t="str">
        <f>A8</f>
        <v>SF Showerhead Replacement_2_00gpm_Any Shower_ Any Water Heating</v>
      </c>
      <c r="C8" s="76">
        <f>'SFResidential Analysis'!AF96</f>
        <v>88.321577464866834</v>
      </c>
      <c r="D8">
        <f>'SFResidential Analysis'!D103</f>
        <v>10</v>
      </c>
      <c r="E8" s="233">
        <f>'SFResidential Analysis'!D104</f>
        <v>25.872</v>
      </c>
      <c r="F8">
        <f>'SFResidential Analysis'!D105</f>
        <v>0</v>
      </c>
      <c r="G8" t="str">
        <f>'SFResidential Analysis'!D106</f>
        <v>ResDHW</v>
      </c>
      <c r="H8">
        <f>'SFResidential Analysis'!AF90</f>
        <v>21.052951449599988</v>
      </c>
      <c r="I8">
        <v>0</v>
      </c>
      <c r="J8">
        <v>0</v>
      </c>
      <c r="K8">
        <v>0</v>
      </c>
      <c r="L8">
        <v>0</v>
      </c>
      <c r="M8">
        <v>0</v>
      </c>
      <c r="N8">
        <v>0</v>
      </c>
      <c r="O8" s="232">
        <f>'SFResidential Analysis'!AF97</f>
        <v>3.1967078341804047</v>
      </c>
      <c r="P8" t="s">
        <v>203</v>
      </c>
    </row>
    <row r="9" spans="1:105">
      <c r="A9" t="s">
        <v>606</v>
      </c>
      <c r="B9" t="str">
        <f t="shared" ref="B9:B16" si="0">A9</f>
        <v>SF Showerhead Replacement_1_75gpm_Any Shower_ Any Water Heating</v>
      </c>
      <c r="C9" s="76">
        <f>'SFResidential Analysis'!AG96</f>
        <v>140.99288738058721</v>
      </c>
      <c r="D9">
        <f>'SFResidential Analysis'!E103</f>
        <v>10</v>
      </c>
      <c r="E9" s="233">
        <f>'SFResidential Analysis'!E104</f>
        <v>25.872</v>
      </c>
      <c r="F9">
        <f>'SFResidential Analysis'!E105</f>
        <v>0</v>
      </c>
      <c r="G9" t="str">
        <f>'SFResidential Analysis'!E106</f>
        <v>ResDHW</v>
      </c>
      <c r="H9">
        <f>'SFResidential Analysis'!AG90</f>
        <v>32.895236640000007</v>
      </c>
      <c r="I9">
        <v>0</v>
      </c>
      <c r="J9">
        <v>0</v>
      </c>
      <c r="K9">
        <v>0</v>
      </c>
      <c r="L9">
        <v>0</v>
      </c>
      <c r="M9">
        <v>0</v>
      </c>
      <c r="N9">
        <v>0</v>
      </c>
      <c r="O9" s="232">
        <f>'SFResidential Analysis'!AG97</f>
        <v>5.1030912330854363</v>
      </c>
      <c r="P9" t="s">
        <v>203</v>
      </c>
    </row>
    <row r="10" spans="1:105">
      <c r="A10" t="s">
        <v>607</v>
      </c>
      <c r="B10" t="str">
        <f t="shared" si="0"/>
        <v>SF Showerhead Replacement_1_50gpm_Any Shower_ Any Water Heating</v>
      </c>
      <c r="C10" s="76">
        <f>'SFResidential Analysis'!AH96</f>
        <v>195.81730156235523</v>
      </c>
      <c r="D10">
        <f>'SFResidential Analysis'!F103</f>
        <v>10</v>
      </c>
      <c r="E10" s="233">
        <f>'SFResidential Analysis'!F104</f>
        <v>25.872</v>
      </c>
      <c r="F10">
        <f>'SFResidential Analysis'!F105</f>
        <v>0</v>
      </c>
      <c r="G10" t="str">
        <f>'SFResidential Analysis'!F106</f>
        <v>ResDHW</v>
      </c>
      <c r="H10">
        <f>'SFResidential Analysis'!AH90</f>
        <v>44.737521830399999</v>
      </c>
      <c r="I10">
        <v>0</v>
      </c>
      <c r="J10">
        <v>0</v>
      </c>
      <c r="K10">
        <v>0</v>
      </c>
      <c r="L10">
        <v>0</v>
      </c>
      <c r="M10">
        <v>0</v>
      </c>
      <c r="N10">
        <v>0</v>
      </c>
      <c r="O10" s="232">
        <f>'SFResidential Analysis'!AH97</f>
        <v>7.0874040063590371</v>
      </c>
      <c r="P10" t="s">
        <v>203</v>
      </c>
    </row>
    <row r="11" spans="1:105">
      <c r="A11" t="s">
        <v>608</v>
      </c>
      <c r="B11" t="str">
        <f t="shared" si="0"/>
        <v>MF Showerhead Replacement_2_00gpm_Any Shower_ Any Water Heating</v>
      </c>
      <c r="C11" s="76">
        <f>'MFResidential Analysis'!AF96</f>
        <v>106.9572044235664</v>
      </c>
      <c r="D11">
        <f>'MFResidential Analysis'!D103</f>
        <v>10</v>
      </c>
      <c r="E11" s="233">
        <f>'MFResidential Analysis'!D104</f>
        <v>25.872</v>
      </c>
      <c r="F11">
        <f>'MFResidential Analysis'!D105</f>
        <v>0</v>
      </c>
      <c r="G11" t="str">
        <f>'MFResidential Analysis'!D106</f>
        <v>ResDHW</v>
      </c>
      <c r="H11" s="76">
        <f>'MFResidential Analysis'!AF90</f>
        <v>14.860906905600018</v>
      </c>
      <c r="I11">
        <v>0</v>
      </c>
      <c r="J11">
        <v>0</v>
      </c>
      <c r="K11">
        <v>0</v>
      </c>
      <c r="L11">
        <v>0</v>
      </c>
      <c r="M11">
        <v>0</v>
      </c>
      <c r="N11">
        <v>0</v>
      </c>
      <c r="O11" s="232">
        <f>'MFResidential Analysis'!AF97</f>
        <v>0.26695196724510795</v>
      </c>
      <c r="P11" t="s">
        <v>203</v>
      </c>
    </row>
    <row r="12" spans="1:105">
      <c r="A12" t="s">
        <v>609</v>
      </c>
      <c r="B12" t="str">
        <f t="shared" si="0"/>
        <v>MF Showerhead Replacement_1_75gpm_Any Shower_ Any Water Heating</v>
      </c>
      <c r="C12" s="76">
        <f>'MFResidential Analysis'!AG96</f>
        <v>170.74202602227126</v>
      </c>
      <c r="D12">
        <f>'MFResidential Analysis'!E103</f>
        <v>10</v>
      </c>
      <c r="E12" s="233">
        <f>'MFResidential Analysis'!E104</f>
        <v>25.872</v>
      </c>
      <c r="F12">
        <f>'MFResidential Analysis'!E105</f>
        <v>0</v>
      </c>
      <c r="G12" t="str">
        <f>'MFResidential Analysis'!E106</f>
        <v>ResDHW</v>
      </c>
      <c r="H12" s="76">
        <f>'MFResidential Analysis'!AG90</f>
        <v>23.220167040000014</v>
      </c>
      <c r="I12">
        <v>0</v>
      </c>
      <c r="J12">
        <v>0</v>
      </c>
      <c r="K12">
        <v>0</v>
      </c>
      <c r="L12">
        <v>0</v>
      </c>
      <c r="M12">
        <v>0</v>
      </c>
      <c r="N12">
        <v>0</v>
      </c>
      <c r="O12" s="232">
        <f>'MFResidential Analysis'!AG97</f>
        <v>0.42615100108224091</v>
      </c>
      <c r="P12" t="s">
        <v>203</v>
      </c>
    </row>
    <row r="13" spans="1:105">
      <c r="A13" t="s">
        <v>610</v>
      </c>
      <c r="B13" t="str">
        <f t="shared" si="0"/>
        <v>MF Showerhead Replacement_1_50gpm_Any Shower_ Any Water Heating</v>
      </c>
      <c r="C13" s="76">
        <f>'MFResidential Analysis'!AH96</f>
        <v>237.13425138049928</v>
      </c>
      <c r="D13">
        <f>'MFResidential Analysis'!F103</f>
        <v>10</v>
      </c>
      <c r="E13" s="233">
        <f>'MFResidential Analysis'!F104</f>
        <v>25.872</v>
      </c>
      <c r="F13">
        <f>'MFResidential Analysis'!F105</f>
        <v>0</v>
      </c>
      <c r="G13" t="str">
        <f>'MFResidential Analysis'!F106</f>
        <v>ResDHW</v>
      </c>
      <c r="H13" s="76">
        <f>'MFResidential Analysis'!AH90</f>
        <v>31.579427174400017</v>
      </c>
      <c r="I13">
        <v>0</v>
      </c>
      <c r="J13">
        <v>0</v>
      </c>
      <c r="K13">
        <v>0</v>
      </c>
      <c r="L13">
        <v>0</v>
      </c>
      <c r="M13">
        <v>0</v>
      </c>
      <c r="N13">
        <v>0</v>
      </c>
      <c r="O13" s="232">
        <f>'MFResidential Analysis'!AH97</f>
        <v>0.59185779254784099</v>
      </c>
      <c r="P13" t="s">
        <v>203</v>
      </c>
    </row>
    <row r="14" spans="1:105">
      <c r="A14" t="s">
        <v>611</v>
      </c>
      <c r="B14" t="str">
        <f t="shared" si="0"/>
        <v>MH Showerhead Replacement_2_00gpm_Any Shower_ Any Water Heating</v>
      </c>
      <c r="C14" s="76">
        <f>'MHResidential Analysis'!AF96</f>
        <v>131.26057966973667</v>
      </c>
      <c r="D14">
        <f>'MHResidential Analysis'!D103</f>
        <v>10</v>
      </c>
      <c r="E14" s="233">
        <f>'MHResidential Analysis'!D104</f>
        <v>25.872</v>
      </c>
      <c r="F14">
        <f>'MHResidential Analysis'!D105</f>
        <v>0</v>
      </c>
      <c r="G14" t="str">
        <f>'MHResidential Analysis'!D106</f>
        <v>ResDHW</v>
      </c>
      <c r="H14" s="76">
        <f>'MHResidential Analysis'!AF90</f>
        <v>19.427539756800016</v>
      </c>
      <c r="I14">
        <v>0</v>
      </c>
      <c r="J14">
        <v>0</v>
      </c>
      <c r="K14">
        <v>0</v>
      </c>
      <c r="L14">
        <v>0</v>
      </c>
      <c r="M14">
        <v>0</v>
      </c>
      <c r="N14">
        <v>0</v>
      </c>
      <c r="O14" s="232">
        <f>'MHResidential Analysis'!AF97</f>
        <v>0.73089119098033972</v>
      </c>
      <c r="P14" t="s">
        <v>203</v>
      </c>
    </row>
    <row r="15" spans="1:105">
      <c r="A15" t="s">
        <v>612</v>
      </c>
      <c r="B15" t="str">
        <f t="shared" si="0"/>
        <v>MH Showerhead Replacement_1_75gpm_Any Shower_ Any Water Heating</v>
      </c>
      <c r="C15" s="76">
        <f>'MHResidential Analysis'!AG96</f>
        <v>209.53892194970729</v>
      </c>
      <c r="D15">
        <f>'MHResidential Analysis'!E103</f>
        <v>10</v>
      </c>
      <c r="E15" s="233">
        <f>'MHResidential Analysis'!E104</f>
        <v>25.872</v>
      </c>
      <c r="F15">
        <f>'MHResidential Analysis'!E105</f>
        <v>0</v>
      </c>
      <c r="G15" t="str">
        <f>'MHResidential Analysis'!E106</f>
        <v>ResDHW</v>
      </c>
      <c r="H15" s="76">
        <f>'MHResidential Analysis'!AG90</f>
        <v>30.355530870000024</v>
      </c>
      <c r="I15">
        <v>0</v>
      </c>
      <c r="J15">
        <v>0</v>
      </c>
      <c r="K15">
        <v>0</v>
      </c>
      <c r="L15">
        <v>0</v>
      </c>
      <c r="M15">
        <v>0</v>
      </c>
      <c r="N15">
        <v>0</v>
      </c>
      <c r="O15" s="232">
        <f>'MHResidential Analysis'!AG97</f>
        <v>1.1667642532578899</v>
      </c>
      <c r="P15" t="s">
        <v>203</v>
      </c>
    </row>
    <row r="16" spans="1:105">
      <c r="A16" t="s">
        <v>613</v>
      </c>
      <c r="B16" t="str">
        <f t="shared" si="0"/>
        <v>MH Showerhead Replacement_1_50gpm_Any Shower_ Any Water Heating</v>
      </c>
      <c r="C16" s="76">
        <f>'MHResidential Analysis'!AH96</f>
        <v>291.01713590501367</v>
      </c>
      <c r="D16">
        <f>'MHResidential Analysis'!F103</f>
        <v>10</v>
      </c>
      <c r="E16" s="233">
        <f>'MHResidential Analysis'!F104</f>
        <v>25.872</v>
      </c>
      <c r="F16">
        <f>'MHResidential Analysis'!F105</f>
        <v>0</v>
      </c>
      <c r="G16" t="str">
        <f>'MHResidential Analysis'!F106</f>
        <v>ResDHW</v>
      </c>
      <c r="H16" s="76">
        <f>'MHResidential Analysis'!AH90</f>
        <v>41.283521983200004</v>
      </c>
      <c r="I16">
        <v>0</v>
      </c>
      <c r="J16">
        <v>0</v>
      </c>
      <c r="K16">
        <v>0</v>
      </c>
      <c r="L16">
        <v>0</v>
      </c>
      <c r="M16">
        <v>0</v>
      </c>
      <c r="N16">
        <v>0</v>
      </c>
      <c r="O16" s="232">
        <f>'MHResidential Analysis'!AH97</f>
        <v>1.6204549880282397</v>
      </c>
      <c r="P16" t="s">
        <v>203</v>
      </c>
    </row>
  </sheetData>
  <mergeCells count="2">
    <mergeCell ref="I6:N6"/>
    <mergeCell ref="O6:P6"/>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sheetPr codeName="Sheet11">
    <tabColor theme="6" tint="0.39997558519241921"/>
  </sheetPr>
  <dimension ref="A1:BW113"/>
  <sheetViews>
    <sheetView zoomScale="70" zoomScaleNormal="70" workbookViewId="0">
      <selection activeCell="N46" sqref="N46"/>
    </sheetView>
  </sheetViews>
  <sheetFormatPr defaultRowHeight="12.75"/>
  <cols>
    <col min="1" max="1" width="9.140625" style="176"/>
    <col min="2" max="2" width="14.7109375" style="175" customWidth="1"/>
    <col min="3" max="3" width="37.7109375" style="176" customWidth="1"/>
    <col min="4" max="4" width="30.28515625" style="176" customWidth="1"/>
    <col min="5" max="12" width="9.42578125" style="176" customWidth="1"/>
    <col min="13" max="13" width="9.140625" style="176"/>
    <col min="14" max="14" width="37.7109375" style="176" customWidth="1"/>
    <col min="15" max="23" width="9.42578125" style="176" customWidth="1"/>
    <col min="24" max="24" width="9.140625" style="176"/>
    <col min="25" max="25" width="37.7109375" style="176" customWidth="1"/>
    <col min="26" max="34" width="9.42578125" style="176" customWidth="1"/>
    <col min="35" max="43" width="9.140625" style="176"/>
    <col min="44" max="44" width="5.140625" style="176" customWidth="1"/>
    <col min="45" max="45" width="15.140625" style="176" customWidth="1"/>
    <col min="46" max="16384" width="9.140625" style="176"/>
  </cols>
  <sheetData>
    <row r="1" spans="1:75">
      <c r="A1" s="174" t="s">
        <v>264</v>
      </c>
    </row>
    <row r="2" spans="1:75" ht="15">
      <c r="B2" s="99" t="s">
        <v>204</v>
      </c>
      <c r="C2" s="100"/>
      <c r="D2" s="100"/>
      <c r="E2" s="100"/>
    </row>
    <row r="3" spans="1:75" ht="15">
      <c r="B3" s="104" t="e">
        <f>ResAnalyses</f>
        <v>#NAME?</v>
      </c>
      <c r="C3" s="105"/>
      <c r="D3" s="105"/>
      <c r="E3" s="105"/>
    </row>
    <row r="4" spans="1:75" ht="15">
      <c r="B4" s="104" t="e">
        <f>ResConsumptionAndGrossSavings</f>
        <v>#NAME?</v>
      </c>
      <c r="C4" s="105"/>
      <c r="D4" s="105"/>
      <c r="E4" s="105"/>
    </row>
    <row r="5" spans="1:75" ht="15">
      <c r="B5" s="104" t="e">
        <f>ResSummaryConsumptionAndGrossSavings</f>
        <v>#NAME?</v>
      </c>
      <c r="C5" s="105"/>
      <c r="D5" s="105"/>
      <c r="E5" s="105"/>
    </row>
    <row r="7" spans="1:75">
      <c r="B7" s="177" t="s">
        <v>265</v>
      </c>
      <c r="C7" s="178"/>
      <c r="D7" s="178"/>
      <c r="E7" s="178"/>
      <c r="F7" s="178"/>
      <c r="G7" s="178"/>
      <c r="H7" s="178"/>
      <c r="I7" s="120" t="s">
        <v>211</v>
      </c>
      <c r="J7" s="178"/>
      <c r="K7" s="178"/>
      <c r="L7" s="178"/>
    </row>
    <row r="8" spans="1:75" ht="13.5" thickBot="1">
      <c r="C8" s="179" t="s">
        <v>266</v>
      </c>
      <c r="D8" s="180"/>
      <c r="E8" s="180"/>
      <c r="F8" s="180"/>
      <c r="G8" s="180"/>
      <c r="H8" s="180"/>
      <c r="I8" s="180"/>
      <c r="J8" s="181"/>
      <c r="K8" s="180"/>
      <c r="L8" s="180"/>
      <c r="N8" s="179" t="s">
        <v>267</v>
      </c>
      <c r="O8" s="180"/>
      <c r="P8" s="180"/>
      <c r="Q8" s="180"/>
      <c r="R8" s="180"/>
      <c r="S8" s="180"/>
      <c r="T8" s="180"/>
      <c r="U8" s="181"/>
      <c r="V8" s="180"/>
      <c r="W8" s="180"/>
    </row>
    <row r="9" spans="1:75" ht="16.5" customHeight="1" thickTop="1" thickBot="1">
      <c r="C9" s="182" t="s">
        <v>268</v>
      </c>
      <c r="D9" s="344" t="s">
        <v>269</v>
      </c>
      <c r="E9" s="344"/>
      <c r="F9" s="344"/>
      <c r="G9" s="344" t="s">
        <v>270</v>
      </c>
      <c r="H9" s="344"/>
      <c r="I9" s="344"/>
      <c r="J9" s="344" t="s">
        <v>271</v>
      </c>
      <c r="K9" s="344"/>
      <c r="L9" s="344"/>
      <c r="N9" s="182" t="s">
        <v>268</v>
      </c>
      <c r="O9" s="344" t="str">
        <f>$D$9</f>
        <v>Primary Shower</v>
      </c>
      <c r="P9" s="344"/>
      <c r="Q9" s="344"/>
      <c r="R9" s="344" t="str">
        <f>$G$9</f>
        <v>Secondary Shower</v>
      </c>
      <c r="S9" s="344"/>
      <c r="T9" s="344"/>
      <c r="U9" s="344" t="str">
        <f>$J$9</f>
        <v>Any Shower</v>
      </c>
      <c r="V9" s="344"/>
      <c r="W9" s="344"/>
      <c r="AR9" s="183"/>
      <c r="AS9" s="184"/>
      <c r="AT9" s="184"/>
      <c r="AU9" s="184"/>
      <c r="AV9" s="184"/>
      <c r="AW9" s="184"/>
      <c r="AX9" s="184"/>
      <c r="AY9" s="184"/>
      <c r="AZ9" s="184"/>
      <c r="BA9" s="184"/>
      <c r="BB9" s="184"/>
      <c r="BC9" s="184"/>
      <c r="BD9" s="184"/>
      <c r="BE9" s="184"/>
      <c r="BF9" s="185"/>
    </row>
    <row r="10" spans="1:75" ht="31.5" customHeight="1" thickTop="1" thickBot="1">
      <c r="C10" s="182" t="s">
        <v>272</v>
      </c>
      <c r="D10" s="134" t="s">
        <v>273</v>
      </c>
      <c r="E10" s="134" t="s">
        <v>274</v>
      </c>
      <c r="F10" s="134" t="s">
        <v>275</v>
      </c>
      <c r="G10" s="134" t="s">
        <v>273</v>
      </c>
      <c r="H10" s="134" t="s">
        <v>274</v>
      </c>
      <c r="I10" s="134" t="s">
        <v>275</v>
      </c>
      <c r="J10" s="134" t="s">
        <v>273</v>
      </c>
      <c r="K10" s="134" t="s">
        <v>274</v>
      </c>
      <c r="L10" s="134" t="s">
        <v>275</v>
      </c>
      <c r="N10" s="182" t="s">
        <v>272</v>
      </c>
      <c r="O10" s="134" t="s">
        <v>273</v>
      </c>
      <c r="P10" s="134" t="s">
        <v>274</v>
      </c>
      <c r="Q10" s="134" t="s">
        <v>275</v>
      </c>
      <c r="R10" s="134" t="s">
        <v>273</v>
      </c>
      <c r="S10" s="134" t="s">
        <v>274</v>
      </c>
      <c r="T10" s="134" t="s">
        <v>275</v>
      </c>
      <c r="U10" s="134" t="s">
        <v>273</v>
      </c>
      <c r="V10" s="134" t="s">
        <v>274</v>
      </c>
      <c r="W10" s="134" t="s">
        <v>275</v>
      </c>
      <c r="Z10" s="183"/>
      <c r="AA10" s="184"/>
      <c r="AB10" s="184"/>
      <c r="AC10" s="184"/>
      <c r="AD10" s="184"/>
      <c r="AE10" s="184"/>
      <c r="AF10" s="184"/>
      <c r="AG10" s="184"/>
      <c r="AH10" s="184"/>
      <c r="AI10" s="184"/>
      <c r="AJ10" s="184"/>
      <c r="AK10" s="184"/>
      <c r="AL10" s="184"/>
      <c r="AM10" s="184"/>
      <c r="AN10" s="184"/>
      <c r="AO10" s="185"/>
      <c r="AR10" s="186"/>
      <c r="AS10" s="187"/>
      <c r="AT10" s="187"/>
      <c r="AU10" s="187"/>
      <c r="AV10" s="187"/>
      <c r="AW10" s="187"/>
      <c r="AX10" s="187"/>
      <c r="AY10" s="187"/>
      <c r="AZ10" s="187"/>
      <c r="BA10" s="187"/>
      <c r="BB10" s="187"/>
      <c r="BC10" s="187"/>
      <c r="BD10" s="187"/>
      <c r="BE10" s="187"/>
      <c r="BF10" s="188"/>
      <c r="BI10" s="183"/>
      <c r="BJ10" s="184"/>
      <c r="BK10" s="184"/>
      <c r="BL10" s="184"/>
      <c r="BM10" s="184"/>
      <c r="BN10" s="184"/>
      <c r="BO10" s="184"/>
      <c r="BP10" s="184"/>
      <c r="BQ10" s="184"/>
      <c r="BR10" s="184"/>
      <c r="BS10" s="184"/>
      <c r="BT10" s="184"/>
      <c r="BU10" s="184"/>
      <c r="BV10" s="184"/>
      <c r="BW10" s="185"/>
    </row>
    <row r="11" spans="1:75" ht="27" thickTop="1" thickBot="1">
      <c r="C11" s="189" t="s">
        <v>276</v>
      </c>
      <c r="D11" s="189">
        <v>0.55000000000000004</v>
      </c>
      <c r="E11" s="189">
        <v>0.55000000000000004</v>
      </c>
      <c r="F11" s="189">
        <v>0.55000000000000004</v>
      </c>
      <c r="G11" s="189">
        <v>0.28000000000000003</v>
      </c>
      <c r="H11" s="189">
        <v>0.28000000000000003</v>
      </c>
      <c r="I11" s="189">
        <v>0.28000000000000003</v>
      </c>
      <c r="J11" s="189">
        <v>0.46</v>
      </c>
      <c r="K11" s="189">
        <v>0.46</v>
      </c>
      <c r="L11" s="189">
        <v>0.46</v>
      </c>
      <c r="N11" s="189" t="s">
        <v>276</v>
      </c>
      <c r="O11" s="189">
        <v>0.55000000000000004</v>
      </c>
      <c r="P11" s="189">
        <v>0.55000000000000004</v>
      </c>
      <c r="Q11" s="189">
        <v>0.55000000000000004</v>
      </c>
      <c r="R11" s="189">
        <v>0.28000000000000003</v>
      </c>
      <c r="S11" s="189">
        <v>0.28000000000000003</v>
      </c>
      <c r="T11" s="189">
        <v>0.28000000000000003</v>
      </c>
      <c r="U11" s="189">
        <v>0.46</v>
      </c>
      <c r="V11" s="189">
        <v>0.46</v>
      </c>
      <c r="W11" s="189">
        <v>0.46</v>
      </c>
      <c r="Z11" s="186"/>
      <c r="AA11" s="187"/>
      <c r="AB11" s="187"/>
      <c r="AC11" s="187"/>
      <c r="AD11" s="187"/>
      <c r="AE11" s="187"/>
      <c r="AF11" s="187"/>
      <c r="AG11" s="187"/>
      <c r="AH11" s="187"/>
      <c r="AI11" s="187"/>
      <c r="AJ11" s="187"/>
      <c r="AK11" s="187"/>
      <c r="AL11" s="187"/>
      <c r="AM11" s="187"/>
      <c r="AN11" s="187"/>
      <c r="AO11" s="188"/>
      <c r="AR11" s="186"/>
      <c r="AS11" s="187"/>
      <c r="AT11" s="187"/>
      <c r="AU11" s="187"/>
      <c r="AV11" s="187"/>
      <c r="AW11" s="187"/>
      <c r="AX11" s="187"/>
      <c r="AY11" s="187"/>
      <c r="AZ11" s="187"/>
      <c r="BA11" s="187"/>
      <c r="BB11" s="187"/>
      <c r="BC11" s="187"/>
      <c r="BD11" s="187"/>
      <c r="BE11" s="187"/>
      <c r="BF11" s="188"/>
      <c r="BI11" s="186"/>
      <c r="BJ11" s="187"/>
      <c r="BK11" s="187"/>
      <c r="BL11" s="187"/>
      <c r="BM11" s="187"/>
      <c r="BN11" s="187"/>
      <c r="BO11" s="187"/>
      <c r="BP11" s="187"/>
      <c r="BQ11" s="187"/>
      <c r="BR11" s="187"/>
      <c r="BS11" s="187"/>
      <c r="BT11" s="187"/>
      <c r="BU11" s="187"/>
      <c r="BV11" s="187"/>
      <c r="BW11" s="188"/>
    </row>
    <row r="12" spans="1:75" ht="27" customHeight="1" thickTop="1" thickBot="1">
      <c r="C12" s="189" t="s">
        <v>277</v>
      </c>
      <c r="D12" s="189">
        <v>350</v>
      </c>
      <c r="E12" s="189">
        <v>350</v>
      </c>
      <c r="F12" s="189">
        <v>350</v>
      </c>
      <c r="G12" s="189">
        <v>350</v>
      </c>
      <c r="H12" s="189">
        <v>350</v>
      </c>
      <c r="I12" s="189">
        <v>350</v>
      </c>
      <c r="J12" s="189">
        <v>350</v>
      </c>
      <c r="K12" s="189">
        <v>350</v>
      </c>
      <c r="L12" s="189">
        <v>350</v>
      </c>
      <c r="N12" s="189" t="s">
        <v>277</v>
      </c>
      <c r="O12" s="189">
        <v>350</v>
      </c>
      <c r="P12" s="189">
        <v>350</v>
      </c>
      <c r="Q12" s="189">
        <v>350</v>
      </c>
      <c r="R12" s="189">
        <v>350</v>
      </c>
      <c r="S12" s="189">
        <v>350</v>
      </c>
      <c r="T12" s="189">
        <v>350</v>
      </c>
      <c r="U12" s="189">
        <v>350</v>
      </c>
      <c r="V12" s="189">
        <v>350</v>
      </c>
      <c r="W12" s="189">
        <v>350</v>
      </c>
      <c r="Z12" s="186"/>
      <c r="AA12" s="187"/>
      <c r="AB12" s="187"/>
      <c r="AC12" s="187"/>
      <c r="AD12" s="187"/>
      <c r="AE12" s="187"/>
      <c r="AF12" s="187"/>
      <c r="AG12" s="187"/>
      <c r="AH12" s="187"/>
      <c r="AI12" s="187"/>
      <c r="AJ12" s="187"/>
      <c r="AK12" s="187"/>
      <c r="AL12" s="187"/>
      <c r="AM12" s="187"/>
      <c r="AN12" s="187"/>
      <c r="AO12" s="188"/>
      <c r="AR12" s="186"/>
      <c r="AS12" s="187"/>
      <c r="AT12" s="187"/>
      <c r="AU12" s="187"/>
      <c r="AV12" s="187"/>
      <c r="AW12" s="187"/>
      <c r="AX12" s="187"/>
      <c r="AY12" s="187"/>
      <c r="AZ12" s="187"/>
      <c r="BA12" s="187"/>
      <c r="BB12" s="187"/>
      <c r="BC12" s="187"/>
      <c r="BD12" s="187"/>
      <c r="BE12" s="187"/>
      <c r="BF12" s="188"/>
      <c r="BI12" s="186"/>
      <c r="BJ12" s="187"/>
      <c r="BK12" s="187"/>
      <c r="BL12" s="187"/>
      <c r="BM12" s="187"/>
      <c r="BN12" s="187"/>
      <c r="BO12" s="187"/>
      <c r="BP12" s="187"/>
      <c r="BQ12" s="187"/>
      <c r="BR12" s="187"/>
      <c r="BS12" s="187"/>
      <c r="BT12" s="187"/>
      <c r="BU12" s="187"/>
      <c r="BV12" s="187"/>
      <c r="BW12" s="188"/>
    </row>
    <row r="13" spans="1:75" ht="27" thickTop="1" thickBot="1">
      <c r="C13" s="189" t="s">
        <v>643</v>
      </c>
      <c r="D13" s="189">
        <f>'SF Input Assumptions'!$D$20</f>
        <v>2.72</v>
      </c>
      <c r="E13" s="189">
        <f>'SF Input Assumptions'!$D$20</f>
        <v>2.72</v>
      </c>
      <c r="F13" s="189">
        <f>'SF Input Assumptions'!$D$20</f>
        <v>2.72</v>
      </c>
      <c r="G13" s="189">
        <f>'SF Input Assumptions'!$D$20</f>
        <v>2.72</v>
      </c>
      <c r="H13" s="189">
        <f>'SF Input Assumptions'!$D$20</f>
        <v>2.72</v>
      </c>
      <c r="I13" s="189">
        <f>'SF Input Assumptions'!$D$20</f>
        <v>2.72</v>
      </c>
      <c r="J13" s="189">
        <f>'SF Input Assumptions'!$D$20</f>
        <v>2.72</v>
      </c>
      <c r="K13" s="189">
        <f>'SF Input Assumptions'!$D$20</f>
        <v>2.72</v>
      </c>
      <c r="L13" s="189">
        <f>'SF Input Assumptions'!$D$20</f>
        <v>2.72</v>
      </c>
      <c r="N13" s="189" t="s">
        <v>278</v>
      </c>
      <c r="O13" s="189">
        <f>'SF Input Assumptions'!$D$20</f>
        <v>2.72</v>
      </c>
      <c r="P13" s="189">
        <f>'SF Input Assumptions'!$D$20</f>
        <v>2.72</v>
      </c>
      <c r="Q13" s="189">
        <f>'SF Input Assumptions'!$D$20</f>
        <v>2.72</v>
      </c>
      <c r="R13" s="189">
        <f>'SF Input Assumptions'!$D$20</f>
        <v>2.72</v>
      </c>
      <c r="S13" s="189">
        <f>'SF Input Assumptions'!$D$20</f>
        <v>2.72</v>
      </c>
      <c r="T13" s="189">
        <f>'SF Input Assumptions'!$D$20</f>
        <v>2.72</v>
      </c>
      <c r="U13" s="189">
        <f>'SF Input Assumptions'!$D$20</f>
        <v>2.72</v>
      </c>
      <c r="V13" s="189">
        <f>'SF Input Assumptions'!$D$20</f>
        <v>2.72</v>
      </c>
      <c r="W13" s="189">
        <f>'SF Input Assumptions'!$D$20</f>
        <v>2.72</v>
      </c>
      <c r="Z13" s="186"/>
      <c r="AA13" s="187"/>
      <c r="AB13" s="187"/>
      <c r="AC13" s="187"/>
      <c r="AD13" s="187"/>
      <c r="AE13" s="187"/>
      <c r="AF13" s="187"/>
      <c r="AG13" s="187"/>
      <c r="AH13" s="187"/>
      <c r="AI13" s="187"/>
      <c r="AJ13" s="187"/>
      <c r="AK13" s="187"/>
      <c r="AL13" s="187"/>
      <c r="AM13" s="187"/>
      <c r="AN13" s="187"/>
      <c r="AO13" s="188"/>
      <c r="AR13" s="186"/>
      <c r="AS13" s="187"/>
      <c r="AT13" s="187"/>
      <c r="AU13" s="187"/>
      <c r="AV13" s="187"/>
      <c r="AW13" s="187"/>
      <c r="AX13" s="187"/>
      <c r="AY13" s="187"/>
      <c r="AZ13" s="187"/>
      <c r="BA13" s="187"/>
      <c r="BB13" s="187"/>
      <c r="BC13" s="187"/>
      <c r="BD13" s="187"/>
      <c r="BE13" s="187"/>
      <c r="BF13" s="188"/>
      <c r="BI13" s="186"/>
      <c r="BJ13" s="187"/>
      <c r="BK13" s="187"/>
      <c r="BL13" s="187"/>
      <c r="BM13" s="187"/>
      <c r="BN13" s="187"/>
      <c r="BO13" s="187"/>
      <c r="BP13" s="187"/>
      <c r="BQ13" s="187"/>
      <c r="BR13" s="187"/>
      <c r="BS13" s="187"/>
      <c r="BT13" s="187"/>
      <c r="BU13" s="187"/>
      <c r="BV13" s="187"/>
      <c r="BW13" s="188"/>
    </row>
    <row r="14" spans="1:75" ht="27" customHeight="1" thickTop="1" thickBot="1">
      <c r="C14" s="189" t="s">
        <v>279</v>
      </c>
      <c r="D14" s="190">
        <f>'SF Input Assumptions'!$D$26</f>
        <v>7.84</v>
      </c>
      <c r="E14" s="190">
        <f>'SF Input Assumptions'!$D$26</f>
        <v>7.84</v>
      </c>
      <c r="F14" s="190">
        <f>'SF Input Assumptions'!$D$26</f>
        <v>7.84</v>
      </c>
      <c r="G14" s="190">
        <f>'SF Input Assumptions'!$D$26</f>
        <v>7.84</v>
      </c>
      <c r="H14" s="190">
        <f>'SF Input Assumptions'!$D$26</f>
        <v>7.84</v>
      </c>
      <c r="I14" s="190">
        <f>'SF Input Assumptions'!$D$26</f>
        <v>7.84</v>
      </c>
      <c r="J14" s="190">
        <f>'SF Input Assumptions'!$D$26</f>
        <v>7.84</v>
      </c>
      <c r="K14" s="190">
        <f>'SF Input Assumptions'!$D$26</f>
        <v>7.84</v>
      </c>
      <c r="L14" s="190">
        <f>'SF Input Assumptions'!$D$26</f>
        <v>7.84</v>
      </c>
      <c r="N14" s="189" t="s">
        <v>279</v>
      </c>
      <c r="O14" s="190">
        <f>'SF Input Assumptions'!D27</f>
        <v>7.84</v>
      </c>
      <c r="P14" s="190">
        <f>'SF Input Assumptions'!D28</f>
        <v>7.84</v>
      </c>
      <c r="Q14" s="190">
        <f>'SF Input Assumptions'!D29</f>
        <v>7.84</v>
      </c>
      <c r="R14" s="190">
        <f>O14</f>
        <v>7.84</v>
      </c>
      <c r="S14" s="190">
        <f>P14</f>
        <v>7.84</v>
      </c>
      <c r="T14" s="190">
        <f>Q14</f>
        <v>7.84</v>
      </c>
      <c r="U14" s="190">
        <f>O14</f>
        <v>7.84</v>
      </c>
      <c r="V14" s="190">
        <f>P14</f>
        <v>7.84</v>
      </c>
      <c r="W14" s="190">
        <f>Q14</f>
        <v>7.84</v>
      </c>
      <c r="Z14" s="186"/>
      <c r="AA14" s="187"/>
      <c r="AB14" s="187"/>
      <c r="AC14" s="187"/>
      <c r="AD14" s="187"/>
      <c r="AE14" s="187"/>
      <c r="AF14" s="187"/>
      <c r="AG14" s="187"/>
      <c r="AH14" s="187"/>
      <c r="AI14" s="187"/>
      <c r="AJ14" s="187"/>
      <c r="AK14" s="187"/>
      <c r="AL14" s="187"/>
      <c r="AM14" s="187"/>
      <c r="AN14" s="187"/>
      <c r="AO14" s="188"/>
      <c r="AR14" s="186"/>
      <c r="AS14" s="187"/>
      <c r="AT14" s="187"/>
      <c r="AU14" s="187"/>
      <c r="AV14" s="187"/>
      <c r="AW14" s="187"/>
      <c r="AX14" s="187"/>
      <c r="AY14" s="187"/>
      <c r="AZ14" s="187"/>
      <c r="BA14" s="187"/>
      <c r="BB14" s="187"/>
      <c r="BC14" s="187"/>
      <c r="BD14" s="187"/>
      <c r="BE14" s="187"/>
      <c r="BF14" s="188"/>
      <c r="BI14" s="186"/>
      <c r="BJ14" s="187"/>
      <c r="BK14" s="187"/>
      <c r="BL14" s="187"/>
      <c r="BM14" s="187"/>
      <c r="BN14" s="187"/>
      <c r="BO14" s="187"/>
      <c r="BP14" s="187"/>
      <c r="BQ14" s="187"/>
      <c r="BR14" s="187"/>
      <c r="BS14" s="187"/>
      <c r="BT14" s="187"/>
      <c r="BU14" s="187"/>
      <c r="BV14" s="187"/>
      <c r="BW14" s="188"/>
    </row>
    <row r="15" spans="1:75" ht="27" customHeight="1" thickTop="1" thickBot="1">
      <c r="C15" s="189" t="s">
        <v>280</v>
      </c>
      <c r="D15" s="191">
        <f t="shared" ref="D15:L15" si="0">D11*D12*D13*D14</f>
        <v>4105.0240000000013</v>
      </c>
      <c r="E15" s="191">
        <f t="shared" si="0"/>
        <v>4105.0240000000013</v>
      </c>
      <c r="F15" s="191">
        <f t="shared" si="0"/>
        <v>4105.0240000000013</v>
      </c>
      <c r="G15" s="191">
        <f t="shared" si="0"/>
        <v>2089.8304000000003</v>
      </c>
      <c r="H15" s="191">
        <f t="shared" si="0"/>
        <v>2089.8304000000003</v>
      </c>
      <c r="I15" s="191">
        <f t="shared" si="0"/>
        <v>2089.8304000000003</v>
      </c>
      <c r="J15" s="191">
        <f t="shared" si="0"/>
        <v>3433.2928000000002</v>
      </c>
      <c r="K15" s="191">
        <f t="shared" si="0"/>
        <v>3433.2928000000002</v>
      </c>
      <c r="L15" s="191">
        <f t="shared" si="0"/>
        <v>3433.2928000000002</v>
      </c>
      <c r="N15" s="189" t="s">
        <v>280</v>
      </c>
      <c r="O15" s="191">
        <f t="shared" ref="O15:V15" si="1">O11*O12*O13*O14</f>
        <v>4105.0240000000013</v>
      </c>
      <c r="P15" s="191">
        <f t="shared" si="1"/>
        <v>4105.0240000000013</v>
      </c>
      <c r="Q15" s="191">
        <f t="shared" si="1"/>
        <v>4105.0240000000013</v>
      </c>
      <c r="R15" s="191">
        <f t="shared" si="1"/>
        <v>2089.8304000000003</v>
      </c>
      <c r="S15" s="191">
        <f t="shared" si="1"/>
        <v>2089.8304000000003</v>
      </c>
      <c r="T15" s="191">
        <f t="shared" si="1"/>
        <v>2089.8304000000003</v>
      </c>
      <c r="U15" s="191">
        <f t="shared" si="1"/>
        <v>3433.2928000000002</v>
      </c>
      <c r="V15" s="191">
        <f t="shared" si="1"/>
        <v>3433.2928000000002</v>
      </c>
      <c r="W15" s="191">
        <f>W11*W12*W13*W14</f>
        <v>3433.2928000000002</v>
      </c>
      <c r="Z15" s="186"/>
      <c r="AA15" s="187"/>
      <c r="AB15" s="187"/>
      <c r="AC15" s="187"/>
      <c r="AD15" s="187"/>
      <c r="AE15" s="187"/>
      <c r="AF15" s="187"/>
      <c r="AG15" s="187"/>
      <c r="AH15" s="187"/>
      <c r="AI15" s="187"/>
      <c r="AJ15" s="187"/>
      <c r="AK15" s="187"/>
      <c r="AL15" s="187"/>
      <c r="AM15" s="187"/>
      <c r="AN15" s="187"/>
      <c r="AO15" s="188"/>
      <c r="AR15" s="186"/>
      <c r="AS15" s="187"/>
      <c r="AT15" s="187"/>
      <c r="AU15" s="187"/>
      <c r="AV15" s="187"/>
      <c r="AW15" s="187"/>
      <c r="AX15" s="187"/>
      <c r="AY15" s="187"/>
      <c r="AZ15" s="187"/>
      <c r="BA15" s="187"/>
      <c r="BB15" s="187"/>
      <c r="BC15" s="187"/>
      <c r="BD15" s="187"/>
      <c r="BE15" s="187"/>
      <c r="BF15" s="188"/>
      <c r="BI15" s="186"/>
      <c r="BJ15" s="187"/>
      <c r="BK15" s="187"/>
      <c r="BL15" s="187"/>
      <c r="BM15" s="187"/>
      <c r="BN15" s="187"/>
      <c r="BO15" s="187"/>
      <c r="BP15" s="187"/>
      <c r="BQ15" s="187"/>
      <c r="BR15" s="187"/>
      <c r="BS15" s="187"/>
      <c r="BT15" s="187"/>
      <c r="BU15" s="187"/>
      <c r="BV15" s="187"/>
      <c r="BW15" s="188"/>
    </row>
    <row r="16" spans="1:75" ht="14.25" thickTop="1" thickBot="1">
      <c r="C16" s="189" t="s">
        <v>281</v>
      </c>
      <c r="D16" s="189">
        <v>2.2000000000000002</v>
      </c>
      <c r="E16" s="189">
        <v>2.2000000000000002</v>
      </c>
      <c r="F16" s="189">
        <v>2.2000000000000002</v>
      </c>
      <c r="G16" s="189">
        <v>2.2000000000000002</v>
      </c>
      <c r="H16" s="189">
        <v>2.2000000000000002</v>
      </c>
      <c r="I16" s="189">
        <v>2.2000000000000002</v>
      </c>
      <c r="J16" s="189">
        <v>2.2000000000000002</v>
      </c>
      <c r="K16" s="189">
        <v>2.2000000000000002</v>
      </c>
      <c r="L16" s="189">
        <v>2.2000000000000002</v>
      </c>
      <c r="N16" s="189" t="s">
        <v>281</v>
      </c>
      <c r="O16" s="190">
        <f>'SF Input Assumptions'!B27</f>
        <v>1.8</v>
      </c>
      <c r="P16" s="190">
        <f>'SF Input Assumptions'!B28</f>
        <v>1.575</v>
      </c>
      <c r="Q16" s="190">
        <f>'SF Input Assumptions'!B29</f>
        <v>1.35</v>
      </c>
      <c r="R16" s="190">
        <f t="shared" ref="R16:T17" si="2">O16</f>
        <v>1.8</v>
      </c>
      <c r="S16" s="190">
        <f t="shared" si="2"/>
        <v>1.575</v>
      </c>
      <c r="T16" s="190">
        <f t="shared" si="2"/>
        <v>1.35</v>
      </c>
      <c r="U16" s="190">
        <f t="shared" ref="U16:W17" si="3">O16</f>
        <v>1.8</v>
      </c>
      <c r="V16" s="190">
        <f t="shared" si="3"/>
        <v>1.575</v>
      </c>
      <c r="W16" s="190">
        <f t="shared" si="3"/>
        <v>1.35</v>
      </c>
      <c r="Z16" s="186"/>
      <c r="AA16" s="187"/>
      <c r="AB16" s="187"/>
      <c r="AC16" s="187"/>
      <c r="AD16" s="187"/>
      <c r="AE16" s="187"/>
      <c r="AF16" s="187"/>
      <c r="AG16" s="187"/>
      <c r="AH16" s="187"/>
      <c r="AI16" s="187"/>
      <c r="AJ16" s="187"/>
      <c r="AK16" s="187"/>
      <c r="AL16" s="187"/>
      <c r="AM16" s="187"/>
      <c r="AN16" s="187"/>
      <c r="AO16" s="188"/>
      <c r="AR16" s="186"/>
      <c r="AS16" s="187"/>
      <c r="AT16" s="187"/>
      <c r="AU16" s="187"/>
      <c r="AV16" s="187"/>
      <c r="AW16" s="187"/>
      <c r="AX16" s="187"/>
      <c r="AY16" s="187"/>
      <c r="AZ16" s="187"/>
      <c r="BA16" s="187"/>
      <c r="BB16" s="187"/>
      <c r="BC16" s="187"/>
      <c r="BD16" s="187"/>
      <c r="BE16" s="187"/>
      <c r="BF16" s="188"/>
      <c r="BI16" s="186"/>
      <c r="BJ16" s="187"/>
      <c r="BK16" s="187"/>
      <c r="BL16" s="187"/>
      <c r="BM16" s="187"/>
      <c r="BN16" s="187"/>
      <c r="BO16" s="187"/>
      <c r="BP16" s="187"/>
      <c r="BQ16" s="187"/>
      <c r="BR16" s="187"/>
      <c r="BS16" s="187"/>
      <c r="BT16" s="187"/>
      <c r="BU16" s="187"/>
      <c r="BV16" s="187"/>
      <c r="BW16" s="188"/>
    </row>
    <row r="17" spans="3:75" ht="14.25" thickTop="1" thickBot="1">
      <c r="C17" s="189" t="s">
        <v>282</v>
      </c>
      <c r="D17" s="192">
        <v>0.73099999999999998</v>
      </c>
      <c r="E17" s="192">
        <v>0.73099999999999998</v>
      </c>
      <c r="F17" s="192">
        <v>0.73099999999999998</v>
      </c>
      <c r="G17" s="192">
        <v>0.73099999999999998</v>
      </c>
      <c r="H17" s="192">
        <v>0.73099999999999998</v>
      </c>
      <c r="I17" s="192">
        <v>0.73099999999999998</v>
      </c>
      <c r="J17" s="192">
        <v>0.73099999999999998</v>
      </c>
      <c r="K17" s="192">
        <v>0.73099999999999998</v>
      </c>
      <c r="L17" s="192">
        <v>0.73099999999999998</v>
      </c>
      <c r="N17" s="189" t="s">
        <v>282</v>
      </c>
      <c r="O17" s="192">
        <f>'SF Input Assumptions'!F27</f>
        <v>0.755</v>
      </c>
      <c r="P17" s="192">
        <f>'SF Input Assumptions'!F28</f>
        <v>0.76850000000000007</v>
      </c>
      <c r="Q17" s="192">
        <f>'SF Input Assumptions'!F29</f>
        <v>0.78200000000000003</v>
      </c>
      <c r="R17" s="192">
        <f t="shared" si="2"/>
        <v>0.755</v>
      </c>
      <c r="S17" s="192">
        <f t="shared" si="2"/>
        <v>0.76850000000000007</v>
      </c>
      <c r="T17" s="192">
        <f t="shared" si="2"/>
        <v>0.78200000000000003</v>
      </c>
      <c r="U17" s="192">
        <f t="shared" si="3"/>
        <v>0.755</v>
      </c>
      <c r="V17" s="192">
        <f t="shared" si="3"/>
        <v>0.76850000000000007</v>
      </c>
      <c r="W17" s="192">
        <f t="shared" si="3"/>
        <v>0.78200000000000003</v>
      </c>
      <c r="Z17" s="186"/>
      <c r="AA17" s="187"/>
      <c r="AB17" s="187"/>
      <c r="AC17" s="187"/>
      <c r="AD17" s="187"/>
      <c r="AE17" s="187"/>
      <c r="AF17" s="187"/>
      <c r="AG17" s="187"/>
      <c r="AH17" s="187"/>
      <c r="AI17" s="187"/>
      <c r="AJ17" s="187"/>
      <c r="AK17" s="187"/>
      <c r="AL17" s="187"/>
      <c r="AM17" s="187"/>
      <c r="AN17" s="187"/>
      <c r="AO17" s="188"/>
      <c r="AR17" s="186"/>
      <c r="AS17" s="187"/>
      <c r="AT17" s="187"/>
      <c r="AU17" s="187"/>
      <c r="AV17" s="187"/>
      <c r="AW17" s="187"/>
      <c r="AX17" s="187"/>
      <c r="AY17" s="187"/>
      <c r="AZ17" s="187"/>
      <c r="BA17" s="187"/>
      <c r="BB17" s="187"/>
      <c r="BC17" s="187"/>
      <c r="BD17" s="187"/>
      <c r="BE17" s="187"/>
      <c r="BF17" s="188"/>
      <c r="BI17" s="186"/>
      <c r="BJ17" s="187"/>
      <c r="BK17" s="187"/>
      <c r="BL17" s="187"/>
      <c r="BM17" s="187"/>
      <c r="BN17" s="187"/>
      <c r="BO17" s="187"/>
      <c r="BP17" s="187"/>
      <c r="BQ17" s="187"/>
      <c r="BR17" s="187"/>
      <c r="BS17" s="187"/>
      <c r="BT17" s="187"/>
      <c r="BU17" s="187"/>
      <c r="BV17" s="187"/>
      <c r="BW17" s="188"/>
    </row>
    <row r="18" spans="3:75" ht="27" thickTop="1" thickBot="1">
      <c r="C18" s="189" t="s">
        <v>283</v>
      </c>
      <c r="D18" s="189">
        <v>75</v>
      </c>
      <c r="E18" s="189">
        <v>75</v>
      </c>
      <c r="F18" s="189">
        <v>75</v>
      </c>
      <c r="G18" s="189">
        <v>75</v>
      </c>
      <c r="H18" s="189">
        <v>75</v>
      </c>
      <c r="I18" s="189">
        <v>75</v>
      </c>
      <c r="J18" s="189">
        <v>75</v>
      </c>
      <c r="K18" s="189">
        <v>75</v>
      </c>
      <c r="L18" s="189">
        <v>75</v>
      </c>
      <c r="N18" s="189" t="s">
        <v>283</v>
      </c>
      <c r="O18" s="189">
        <v>75</v>
      </c>
      <c r="P18" s="189">
        <v>75</v>
      </c>
      <c r="Q18" s="189">
        <v>75</v>
      </c>
      <c r="R18" s="189">
        <v>75</v>
      </c>
      <c r="S18" s="189">
        <v>75</v>
      </c>
      <c r="T18" s="189">
        <v>75</v>
      </c>
      <c r="U18" s="189">
        <v>75</v>
      </c>
      <c r="V18" s="189">
        <v>75</v>
      </c>
      <c r="W18" s="189">
        <v>75</v>
      </c>
      <c r="Z18" s="186"/>
      <c r="AA18" s="187"/>
      <c r="AB18" s="187"/>
      <c r="AC18" s="187"/>
      <c r="AD18" s="187"/>
      <c r="AE18" s="187"/>
      <c r="AF18" s="187"/>
      <c r="AG18" s="187"/>
      <c r="AH18" s="187"/>
      <c r="AI18" s="187"/>
      <c r="AJ18" s="187"/>
      <c r="AK18" s="187"/>
      <c r="AL18" s="187"/>
      <c r="AM18" s="187"/>
      <c r="AN18" s="187"/>
      <c r="AO18" s="188"/>
      <c r="AR18" s="186"/>
      <c r="AS18" s="187"/>
      <c r="AT18" s="187"/>
      <c r="AU18" s="187"/>
      <c r="AV18" s="187"/>
      <c r="AW18" s="187"/>
      <c r="AX18" s="187"/>
      <c r="AY18" s="187"/>
      <c r="AZ18" s="187"/>
      <c r="BA18" s="187"/>
      <c r="BB18" s="187"/>
      <c r="BC18" s="187"/>
      <c r="BD18" s="187"/>
      <c r="BE18" s="187"/>
      <c r="BF18" s="188"/>
      <c r="BI18" s="186"/>
      <c r="BJ18" s="187"/>
      <c r="BK18" s="187"/>
      <c r="BL18" s="187"/>
      <c r="BM18" s="187"/>
      <c r="BN18" s="187"/>
      <c r="BO18" s="187"/>
      <c r="BP18" s="187"/>
      <c r="BQ18" s="187"/>
      <c r="BR18" s="187"/>
      <c r="BS18" s="187"/>
      <c r="BT18" s="187"/>
      <c r="BU18" s="187"/>
      <c r="BV18" s="187"/>
      <c r="BW18" s="188"/>
    </row>
    <row r="19" spans="3:75" ht="27" customHeight="1" thickTop="1" thickBot="1">
      <c r="C19" s="189" t="s">
        <v>284</v>
      </c>
      <c r="D19" s="193">
        <f>'SF Input Assumptions'!$G$26</f>
        <v>108.363</v>
      </c>
      <c r="E19" s="193">
        <f>'SF Input Assumptions'!$G$26</f>
        <v>108.363</v>
      </c>
      <c r="F19" s="193">
        <f>'SF Input Assumptions'!$G$26</f>
        <v>108.363</v>
      </c>
      <c r="G19" s="193">
        <f>'SF Input Assumptions'!$G$26</f>
        <v>108.363</v>
      </c>
      <c r="H19" s="193">
        <f>'SF Input Assumptions'!$G$26</f>
        <v>108.363</v>
      </c>
      <c r="I19" s="193">
        <f>'SF Input Assumptions'!$G$26</f>
        <v>108.363</v>
      </c>
      <c r="J19" s="193">
        <f>'SF Input Assumptions'!$G$26</f>
        <v>108.363</v>
      </c>
      <c r="K19" s="193">
        <f>'SF Input Assumptions'!$G$26</f>
        <v>108.363</v>
      </c>
      <c r="L19" s="193">
        <f>'SF Input Assumptions'!$G$26</f>
        <v>108.363</v>
      </c>
      <c r="N19" s="189" t="s">
        <v>284</v>
      </c>
      <c r="O19" s="193">
        <f>'SF Input Assumptions'!$G$27</f>
        <v>110.11499999999999</v>
      </c>
      <c r="P19" s="193">
        <f>'SF Input Assumptions'!$G$28</f>
        <v>111.10050000000001</v>
      </c>
      <c r="Q19" s="193">
        <f>'SF Input Assumptions'!$G$29</f>
        <v>112.086</v>
      </c>
      <c r="R19" s="193">
        <f>O19</f>
        <v>110.11499999999999</v>
      </c>
      <c r="S19" s="193">
        <f>P19</f>
        <v>111.10050000000001</v>
      </c>
      <c r="T19" s="193">
        <f>Q19</f>
        <v>112.086</v>
      </c>
      <c r="U19" s="193">
        <f>O19</f>
        <v>110.11499999999999</v>
      </c>
      <c r="V19" s="193">
        <f>P19</f>
        <v>111.10050000000001</v>
      </c>
      <c r="W19" s="193">
        <f>Q19</f>
        <v>112.086</v>
      </c>
      <c r="Z19" s="186"/>
      <c r="AA19" s="187"/>
      <c r="AB19" s="187"/>
      <c r="AC19" s="187"/>
      <c r="AD19" s="187"/>
      <c r="AE19" s="187"/>
      <c r="AF19" s="187"/>
      <c r="AG19" s="187"/>
      <c r="AH19" s="187"/>
      <c r="AI19" s="187"/>
      <c r="AJ19" s="187"/>
      <c r="AK19" s="187"/>
      <c r="AL19" s="187"/>
      <c r="AM19" s="187"/>
      <c r="AN19" s="187"/>
      <c r="AO19" s="188"/>
      <c r="AR19" s="186"/>
      <c r="AS19" s="187"/>
      <c r="AT19" s="187"/>
      <c r="AU19" s="187"/>
      <c r="AV19" s="187"/>
      <c r="AW19" s="187"/>
      <c r="AX19" s="187"/>
      <c r="AY19" s="187"/>
      <c r="AZ19" s="187"/>
      <c r="BA19" s="187"/>
      <c r="BB19" s="187"/>
      <c r="BC19" s="187"/>
      <c r="BD19" s="187"/>
      <c r="BE19" s="187"/>
      <c r="BF19" s="188"/>
      <c r="BI19" s="186"/>
      <c r="BJ19" s="187"/>
      <c r="BK19" s="187"/>
      <c r="BL19" s="187"/>
      <c r="BM19" s="187"/>
      <c r="BN19" s="187"/>
      <c r="BO19" s="187"/>
      <c r="BP19" s="187"/>
      <c r="BQ19" s="187"/>
      <c r="BR19" s="187"/>
      <c r="BS19" s="187"/>
      <c r="BT19" s="187"/>
      <c r="BU19" s="187"/>
      <c r="BV19" s="187"/>
      <c r="BW19" s="188"/>
    </row>
    <row r="20" spans="3:75" ht="27" thickTop="1" thickBot="1">
      <c r="C20" s="189" t="s">
        <v>285</v>
      </c>
      <c r="D20" s="194">
        <f>'SF Input Assumptions'!$D$15/'SF Input Assumptions'!$D$12</f>
        <v>2.4934897959183674E-3</v>
      </c>
      <c r="E20" s="194">
        <f>'SF Input Assumptions'!$D$15/'SF Input Assumptions'!$D$12</f>
        <v>2.4934897959183674E-3</v>
      </c>
      <c r="F20" s="194">
        <f>'SF Input Assumptions'!$D$15/'SF Input Assumptions'!$D$12</f>
        <v>2.4934897959183674E-3</v>
      </c>
      <c r="G20" s="194">
        <f>'SF Input Assumptions'!$D$15/'SF Input Assumptions'!$D$12</f>
        <v>2.4934897959183674E-3</v>
      </c>
      <c r="H20" s="194">
        <f>'SF Input Assumptions'!$D$15/'SF Input Assumptions'!$D$12</f>
        <v>2.4934897959183674E-3</v>
      </c>
      <c r="I20" s="194">
        <f>'SF Input Assumptions'!$D$15/'SF Input Assumptions'!$D$12</f>
        <v>2.4934897959183674E-3</v>
      </c>
      <c r="J20" s="194">
        <f>'SF Input Assumptions'!$D$15/'SF Input Assumptions'!$D$12</f>
        <v>2.4934897959183674E-3</v>
      </c>
      <c r="K20" s="194">
        <f>'SF Input Assumptions'!$D$15/'SF Input Assumptions'!$D$12</f>
        <v>2.4934897959183674E-3</v>
      </c>
      <c r="L20" s="194">
        <f>'SF Input Assumptions'!$D$15/'SF Input Assumptions'!$D$12</f>
        <v>2.4934897959183674E-3</v>
      </c>
      <c r="N20" s="189" t="s">
        <v>285</v>
      </c>
      <c r="O20" s="194">
        <f t="shared" ref="O20:W21" si="4">D20</f>
        <v>2.4934897959183674E-3</v>
      </c>
      <c r="P20" s="194">
        <f t="shared" si="4"/>
        <v>2.4934897959183674E-3</v>
      </c>
      <c r="Q20" s="194">
        <f t="shared" si="4"/>
        <v>2.4934897959183674E-3</v>
      </c>
      <c r="R20" s="194">
        <f t="shared" si="4"/>
        <v>2.4934897959183674E-3</v>
      </c>
      <c r="S20" s="194">
        <f t="shared" si="4"/>
        <v>2.4934897959183674E-3</v>
      </c>
      <c r="T20" s="194">
        <f t="shared" si="4"/>
        <v>2.4934897959183674E-3</v>
      </c>
      <c r="U20" s="194">
        <f t="shared" si="4"/>
        <v>2.4934897959183674E-3</v>
      </c>
      <c r="V20" s="194">
        <f t="shared" si="4"/>
        <v>2.4934897959183674E-3</v>
      </c>
      <c r="W20" s="194">
        <f t="shared" si="4"/>
        <v>2.4934897959183674E-3</v>
      </c>
      <c r="Z20" s="186"/>
      <c r="AA20" s="187"/>
      <c r="AB20" s="187"/>
      <c r="AC20" s="187"/>
      <c r="AD20" s="187"/>
      <c r="AE20" s="187"/>
      <c r="AF20" s="187"/>
      <c r="AG20" s="187"/>
      <c r="AH20" s="187"/>
      <c r="AI20" s="187"/>
      <c r="AJ20" s="187"/>
      <c r="AK20" s="187"/>
      <c r="AL20" s="187"/>
      <c r="AM20" s="187"/>
      <c r="AN20" s="187"/>
      <c r="AO20" s="188"/>
      <c r="AR20" s="186"/>
      <c r="AS20" s="187"/>
      <c r="AT20" s="187"/>
      <c r="AU20" s="187"/>
      <c r="AV20" s="187"/>
      <c r="AW20" s="187"/>
      <c r="AX20" s="187"/>
      <c r="AY20" s="187"/>
      <c r="AZ20" s="187"/>
      <c r="BA20" s="187"/>
      <c r="BB20" s="187"/>
      <c r="BC20" s="187"/>
      <c r="BD20" s="187"/>
      <c r="BE20" s="187"/>
      <c r="BF20" s="188"/>
      <c r="BI20" s="186"/>
      <c r="BJ20" s="187"/>
      <c r="BK20" s="187"/>
      <c r="BL20" s="187"/>
      <c r="BM20" s="187"/>
      <c r="BN20" s="187"/>
      <c r="BO20" s="187"/>
      <c r="BP20" s="187"/>
      <c r="BQ20" s="187"/>
      <c r="BR20" s="187"/>
      <c r="BS20" s="187"/>
      <c r="BT20" s="187"/>
      <c r="BU20" s="187"/>
      <c r="BV20" s="187"/>
      <c r="BW20" s="188"/>
    </row>
    <row r="21" spans="3:75" ht="27" thickTop="1" thickBot="1">
      <c r="C21" s="189" t="s">
        <v>286</v>
      </c>
      <c r="D21" s="189">
        <f>'SF Input Assumptions'!$D$17/'SF Input Assumptions'!$D$13</f>
        <v>1.1119999999999999E-4</v>
      </c>
      <c r="E21" s="189">
        <f>'SF Input Assumptions'!$D$17/'SF Input Assumptions'!$D$13</f>
        <v>1.1119999999999999E-4</v>
      </c>
      <c r="F21" s="189">
        <f>'SF Input Assumptions'!$D$17/'SF Input Assumptions'!$D$13</f>
        <v>1.1119999999999999E-4</v>
      </c>
      <c r="G21" s="189">
        <f>'SF Input Assumptions'!$D$17/'SF Input Assumptions'!$D$13</f>
        <v>1.1119999999999999E-4</v>
      </c>
      <c r="H21" s="189">
        <f>'SF Input Assumptions'!$D$17/'SF Input Assumptions'!$D$13</f>
        <v>1.1119999999999999E-4</v>
      </c>
      <c r="I21" s="189">
        <f>'SF Input Assumptions'!$D$17/'SF Input Assumptions'!$D$13</f>
        <v>1.1119999999999999E-4</v>
      </c>
      <c r="J21" s="189">
        <f>'SF Input Assumptions'!$D$17/'SF Input Assumptions'!$D$13</f>
        <v>1.1119999999999999E-4</v>
      </c>
      <c r="K21" s="189">
        <f>'SF Input Assumptions'!$D$17/'SF Input Assumptions'!$D$13</f>
        <v>1.1119999999999999E-4</v>
      </c>
      <c r="L21" s="189">
        <f>'SF Input Assumptions'!$D$17/'SF Input Assumptions'!$D$13</f>
        <v>1.1119999999999999E-4</v>
      </c>
      <c r="N21" s="189" t="s">
        <v>286</v>
      </c>
      <c r="O21" s="194">
        <f t="shared" si="4"/>
        <v>1.1119999999999999E-4</v>
      </c>
      <c r="P21" s="194">
        <f t="shared" si="4"/>
        <v>1.1119999999999999E-4</v>
      </c>
      <c r="Q21" s="194">
        <f t="shared" si="4"/>
        <v>1.1119999999999999E-4</v>
      </c>
      <c r="R21" s="194">
        <f t="shared" si="4"/>
        <v>1.1119999999999999E-4</v>
      </c>
      <c r="S21" s="194">
        <f t="shared" si="4"/>
        <v>1.1119999999999999E-4</v>
      </c>
      <c r="T21" s="194">
        <f t="shared" si="4"/>
        <v>1.1119999999999999E-4</v>
      </c>
      <c r="U21" s="194">
        <f t="shared" si="4"/>
        <v>1.1119999999999999E-4</v>
      </c>
      <c r="V21" s="194">
        <f t="shared" si="4"/>
        <v>1.1119999999999999E-4</v>
      </c>
      <c r="W21" s="194">
        <f t="shared" si="4"/>
        <v>1.1119999999999999E-4</v>
      </c>
      <c r="Z21" s="186"/>
      <c r="AA21" s="187"/>
      <c r="AB21" s="187"/>
      <c r="AC21" s="187"/>
      <c r="AD21" s="187"/>
      <c r="AE21" s="187"/>
      <c r="AF21" s="187"/>
      <c r="AG21" s="187"/>
      <c r="AH21" s="187"/>
      <c r="AI21" s="187"/>
      <c r="AJ21" s="187"/>
      <c r="AK21" s="187"/>
      <c r="AL21" s="187"/>
      <c r="AM21" s="187"/>
      <c r="AN21" s="187"/>
      <c r="AO21" s="188"/>
      <c r="AR21" s="186"/>
      <c r="AS21" s="187"/>
      <c r="AT21" s="187"/>
      <c r="AU21" s="187"/>
      <c r="AV21" s="187"/>
      <c r="AW21" s="187"/>
      <c r="AX21" s="187"/>
      <c r="AY21" s="187"/>
      <c r="AZ21" s="187"/>
      <c r="BA21" s="187"/>
      <c r="BB21" s="187"/>
      <c r="BC21" s="187"/>
      <c r="BD21" s="187"/>
      <c r="BE21" s="187"/>
      <c r="BF21" s="188"/>
      <c r="BI21" s="186"/>
      <c r="BJ21" s="187"/>
      <c r="BK21" s="187"/>
      <c r="BL21" s="187"/>
      <c r="BM21" s="187"/>
      <c r="BN21" s="187"/>
      <c r="BO21" s="187"/>
      <c r="BP21" s="187"/>
      <c r="BQ21" s="187"/>
      <c r="BR21" s="187"/>
      <c r="BS21" s="187"/>
      <c r="BT21" s="187"/>
      <c r="BU21" s="187"/>
      <c r="BV21" s="187"/>
      <c r="BW21" s="188"/>
    </row>
    <row r="22" spans="3:75" ht="14.25" thickTop="1" thickBot="1">
      <c r="C22" s="189" t="s">
        <v>287</v>
      </c>
      <c r="D22" s="191">
        <f>D11*D12*D13*D16*D14</f>
        <v>9031.0528000000013</v>
      </c>
      <c r="E22" s="191">
        <f t="shared" ref="E22:L22" si="5">E11*E12*E13*E16*E14</f>
        <v>9031.0528000000013</v>
      </c>
      <c r="F22" s="191">
        <f t="shared" si="5"/>
        <v>9031.0528000000013</v>
      </c>
      <c r="G22" s="191">
        <f t="shared" si="5"/>
        <v>4597.6268800000007</v>
      </c>
      <c r="H22" s="191">
        <f t="shared" si="5"/>
        <v>4597.6268800000007</v>
      </c>
      <c r="I22" s="191">
        <f t="shared" si="5"/>
        <v>4597.6268800000007</v>
      </c>
      <c r="J22" s="191">
        <f t="shared" si="5"/>
        <v>7553.2441600000002</v>
      </c>
      <c r="K22" s="191">
        <f t="shared" si="5"/>
        <v>7553.2441600000002</v>
      </c>
      <c r="L22" s="191">
        <f t="shared" si="5"/>
        <v>7553.2441600000002</v>
      </c>
      <c r="N22" s="189" t="s">
        <v>287</v>
      </c>
      <c r="O22" s="191">
        <f t="shared" ref="O22:W22" si="6">O11*O12*O13*O16*O14</f>
        <v>7389.0432000000019</v>
      </c>
      <c r="P22" s="191">
        <f t="shared" si="6"/>
        <v>6465.412800000001</v>
      </c>
      <c r="Q22" s="191">
        <f t="shared" si="6"/>
        <v>5541.7824000000019</v>
      </c>
      <c r="R22" s="191">
        <f t="shared" si="6"/>
        <v>3761.6947200000009</v>
      </c>
      <c r="S22" s="191">
        <f t="shared" si="6"/>
        <v>3291.4828800000009</v>
      </c>
      <c r="T22" s="191">
        <f t="shared" si="6"/>
        <v>2821.271040000001</v>
      </c>
      <c r="U22" s="191">
        <f t="shared" si="6"/>
        <v>6179.9270400000005</v>
      </c>
      <c r="V22" s="191">
        <f t="shared" si="6"/>
        <v>5407.4361600000002</v>
      </c>
      <c r="W22" s="191">
        <f t="shared" si="6"/>
        <v>4634.9452799999999</v>
      </c>
      <c r="Z22" s="186"/>
      <c r="AA22" s="187"/>
      <c r="AB22" s="187"/>
      <c r="AC22" s="187"/>
      <c r="AD22" s="187"/>
      <c r="AE22" s="187"/>
      <c r="AF22" s="187"/>
      <c r="AG22" s="187"/>
      <c r="AH22" s="187"/>
      <c r="AI22" s="187"/>
      <c r="AJ22" s="187"/>
      <c r="AK22" s="187"/>
      <c r="AL22" s="187"/>
      <c r="AM22" s="187"/>
      <c r="AN22" s="187"/>
      <c r="AO22" s="188"/>
      <c r="AR22" s="186"/>
      <c r="AS22" s="187"/>
      <c r="AT22" s="187"/>
      <c r="AU22" s="187"/>
      <c r="AV22" s="187"/>
      <c r="AW22" s="187"/>
      <c r="AX22" s="187"/>
      <c r="AY22" s="187"/>
      <c r="AZ22" s="187"/>
      <c r="BA22" s="187"/>
      <c r="BB22" s="187"/>
      <c r="BC22" s="187"/>
      <c r="BD22" s="187"/>
      <c r="BE22" s="187"/>
      <c r="BF22" s="188"/>
      <c r="BI22" s="186"/>
      <c r="BJ22" s="187"/>
      <c r="BK22" s="187"/>
      <c r="BL22" s="187"/>
      <c r="BM22" s="187"/>
      <c r="BN22" s="187"/>
      <c r="BO22" s="187"/>
      <c r="BP22" s="187"/>
      <c r="BQ22" s="187"/>
      <c r="BR22" s="187"/>
      <c r="BS22" s="187"/>
      <c r="BT22" s="187"/>
      <c r="BU22" s="187"/>
      <c r="BV22" s="187"/>
      <c r="BW22" s="188"/>
    </row>
    <row r="23" spans="3:75" ht="14.25" thickTop="1" thickBot="1">
      <c r="C23" s="195" t="s">
        <v>288</v>
      </c>
      <c r="D23" s="196">
        <f>D22*'SF Input Assumptions'!$E$43/1000</f>
        <v>138.44603942400002</v>
      </c>
      <c r="E23" s="196">
        <f>E22*'SF Input Assumptions'!$E$43/1000</f>
        <v>138.44603942400002</v>
      </c>
      <c r="F23" s="196">
        <f>F22*'SF Input Assumptions'!$E$43/1000</f>
        <v>138.44603942400002</v>
      </c>
      <c r="G23" s="196">
        <f>G22*'SF Input Assumptions'!$E$43/1000</f>
        <v>70.481620070400012</v>
      </c>
      <c r="H23" s="196">
        <f>H22*'SF Input Assumptions'!$E$43/1000</f>
        <v>70.481620070400012</v>
      </c>
      <c r="I23" s="196">
        <f>I22*'SF Input Assumptions'!$E$43/1000</f>
        <v>70.481620070400012</v>
      </c>
      <c r="J23" s="196">
        <f>J22*'SF Input Assumptions'!$E$43/1000</f>
        <v>115.7912329728</v>
      </c>
      <c r="K23" s="196">
        <f>K22*'SF Input Assumptions'!$E$43/1000</f>
        <v>115.7912329728</v>
      </c>
      <c r="L23" s="196">
        <f>L22*'SF Input Assumptions'!$E$43/1000</f>
        <v>115.7912329728</v>
      </c>
      <c r="N23" s="195" t="s">
        <v>288</v>
      </c>
      <c r="O23" s="196">
        <f>O22*'SF Input Assumptions'!$E$43/1000</f>
        <v>113.27403225600004</v>
      </c>
      <c r="P23" s="196">
        <f>P22*'SF Input Assumptions'!$E$43/1000</f>
        <v>99.114778224000005</v>
      </c>
      <c r="Q23" s="196">
        <f>Q22*'SF Input Assumptions'!$E$43/1000</f>
        <v>84.955524192000027</v>
      </c>
      <c r="R23" s="196">
        <f>R22*'SF Input Assumptions'!$E$43/1000</f>
        <v>57.666780057600015</v>
      </c>
      <c r="S23" s="196">
        <f>S22*'SF Input Assumptions'!$E$43/1000</f>
        <v>50.458432550400012</v>
      </c>
      <c r="T23" s="196">
        <f>T22*'SF Input Assumptions'!$E$43/1000</f>
        <v>43.250085043200016</v>
      </c>
      <c r="U23" s="196">
        <f>U22*'SF Input Assumptions'!$E$43/1000</f>
        <v>94.738281523200015</v>
      </c>
      <c r="V23" s="196">
        <f>V22*'SF Input Assumptions'!$E$43/1000</f>
        <v>82.895996332799996</v>
      </c>
      <c r="W23" s="196">
        <f>W22*'SF Input Assumptions'!$E$43/1000</f>
        <v>71.053711142400005</v>
      </c>
      <c r="Z23" s="186"/>
      <c r="AA23" s="187"/>
      <c r="AB23" s="187"/>
      <c r="AC23" s="187"/>
      <c r="AD23" s="187"/>
      <c r="AE23" s="187"/>
      <c r="AF23" s="187"/>
      <c r="AG23" s="187"/>
      <c r="AH23" s="187"/>
      <c r="AI23" s="187"/>
      <c r="AJ23" s="187"/>
      <c r="AK23" s="187"/>
      <c r="AL23" s="187"/>
      <c r="AM23" s="187"/>
      <c r="AN23" s="187"/>
      <c r="AO23" s="188"/>
      <c r="AR23" s="186"/>
      <c r="AS23" s="187"/>
      <c r="AT23" s="187"/>
      <c r="AU23" s="187"/>
      <c r="AV23" s="187"/>
      <c r="AW23" s="187"/>
      <c r="AX23" s="187"/>
      <c r="AY23" s="187"/>
      <c r="AZ23" s="187"/>
      <c r="BA23" s="187"/>
      <c r="BB23" s="187"/>
      <c r="BC23" s="187"/>
      <c r="BD23" s="187"/>
      <c r="BE23" s="187"/>
      <c r="BF23" s="188"/>
      <c r="BI23" s="186"/>
      <c r="BJ23" s="187"/>
      <c r="BK23" s="187"/>
      <c r="BL23" s="187"/>
      <c r="BM23" s="187"/>
      <c r="BN23" s="187"/>
      <c r="BO23" s="187"/>
      <c r="BP23" s="187"/>
      <c r="BQ23" s="187"/>
      <c r="BR23" s="187"/>
      <c r="BS23" s="187"/>
      <c r="BT23" s="187"/>
      <c r="BU23" s="187"/>
      <c r="BV23" s="187"/>
      <c r="BW23" s="188"/>
    </row>
    <row r="24" spans="3:75" ht="27" customHeight="1" thickTop="1" thickBot="1">
      <c r="C24" s="195" t="s">
        <v>289</v>
      </c>
      <c r="D24" s="197">
        <f>D22*'SF Input Assumptions'!$C$47/1000</f>
        <v>33.27170295662804</v>
      </c>
      <c r="E24" s="197">
        <f>E22*'SF Input Assumptions'!$C$47/1000</f>
        <v>33.27170295662804</v>
      </c>
      <c r="F24" s="197">
        <f>F22*'SF Input Assumptions'!$C$47/1000</f>
        <v>33.27170295662804</v>
      </c>
      <c r="G24" s="197">
        <f>G22*'SF Input Assumptions'!$C$47/1000</f>
        <v>16.938321505192455</v>
      </c>
      <c r="H24" s="197">
        <f>H22*'SF Input Assumptions'!$C$47/1000</f>
        <v>16.938321505192455</v>
      </c>
      <c r="I24" s="197">
        <f>I22*'SF Input Assumptions'!$C$47/1000</f>
        <v>16.938321505192455</v>
      </c>
      <c r="J24" s="197">
        <f>J22*'SF Input Assumptions'!$C$47/1000</f>
        <v>27.827242472816174</v>
      </c>
      <c r="K24" s="197">
        <f>K22*'SF Input Assumptions'!$C$47/1000</f>
        <v>27.827242472816174</v>
      </c>
      <c r="L24" s="197">
        <f>L22*'SF Input Assumptions'!$C$47/1000</f>
        <v>27.827242472816174</v>
      </c>
      <c r="N24" s="195" t="s">
        <v>289</v>
      </c>
      <c r="O24" s="197">
        <f>O22*'SF Input Assumptions'!$C$47/1000</f>
        <v>27.222302419059307</v>
      </c>
      <c r="P24" s="197">
        <f>P22*'SF Input Assumptions'!$C$47/1000</f>
        <v>23.819514616676891</v>
      </c>
      <c r="Q24" s="197">
        <f>Q22*'SF Input Assumptions'!$C$47/1000</f>
        <v>20.416726814294481</v>
      </c>
      <c r="R24" s="197">
        <f>R22*'SF Input Assumptions'!$C$47/1000</f>
        <v>13.858626686066556</v>
      </c>
      <c r="S24" s="197">
        <f>S22*'SF Input Assumptions'!$C$47/1000</f>
        <v>12.126298350308236</v>
      </c>
      <c r="T24" s="197">
        <f>T22*'SF Input Assumptions'!$C$47/1000</f>
        <v>10.393970014549918</v>
      </c>
      <c r="U24" s="197">
        <f>U22*'SF Input Assumptions'!$C$47/1000</f>
        <v>22.767743841395053</v>
      </c>
      <c r="V24" s="197">
        <f>V22*'SF Input Assumptions'!$C$47/1000</f>
        <v>19.92177586122067</v>
      </c>
      <c r="W24" s="197">
        <f>W22*'SF Input Assumptions'!$C$47/1000</f>
        <v>17.075807881046288</v>
      </c>
      <c r="Z24" s="186"/>
      <c r="AA24" s="187"/>
      <c r="AB24" s="187"/>
      <c r="AC24" s="187"/>
      <c r="AD24" s="187"/>
      <c r="AE24" s="187"/>
      <c r="AF24" s="187"/>
      <c r="AG24" s="187"/>
      <c r="AH24" s="187"/>
      <c r="AI24" s="187"/>
      <c r="AJ24" s="187"/>
      <c r="AK24" s="187"/>
      <c r="AL24" s="187"/>
      <c r="AM24" s="187"/>
      <c r="AN24" s="187"/>
      <c r="AO24" s="188"/>
      <c r="AR24" s="186"/>
      <c r="AS24" s="187"/>
      <c r="AT24" s="187"/>
      <c r="AU24" s="187"/>
      <c r="AV24" s="187"/>
      <c r="AW24" s="187"/>
      <c r="AX24" s="187"/>
      <c r="AY24" s="187"/>
      <c r="AZ24" s="187"/>
      <c r="BA24" s="187"/>
      <c r="BB24" s="187"/>
      <c r="BC24" s="187"/>
      <c r="BD24" s="187"/>
      <c r="BE24" s="187"/>
      <c r="BF24" s="188"/>
      <c r="BI24" s="186"/>
      <c r="BJ24" s="187"/>
      <c r="BK24" s="187"/>
      <c r="BL24" s="187"/>
      <c r="BM24" s="187"/>
      <c r="BN24" s="187"/>
      <c r="BO24" s="187"/>
      <c r="BP24" s="187"/>
      <c r="BQ24" s="187"/>
      <c r="BR24" s="187"/>
      <c r="BS24" s="187"/>
      <c r="BT24" s="187"/>
      <c r="BU24" s="187"/>
      <c r="BV24" s="187"/>
      <c r="BW24" s="188"/>
    </row>
    <row r="25" spans="3:75" ht="14.25" thickTop="1" thickBot="1">
      <c r="C25" s="189" t="s">
        <v>290</v>
      </c>
      <c r="D25" s="191">
        <f t="shared" ref="D25:L25" si="7">D22*D17</f>
        <v>6601.699596800001</v>
      </c>
      <c r="E25" s="191">
        <f t="shared" si="7"/>
        <v>6601.699596800001</v>
      </c>
      <c r="F25" s="191">
        <f t="shared" si="7"/>
        <v>6601.699596800001</v>
      </c>
      <c r="G25" s="191">
        <f t="shared" si="7"/>
        <v>3360.8652492800006</v>
      </c>
      <c r="H25" s="191">
        <f t="shared" si="7"/>
        <v>3360.8652492800006</v>
      </c>
      <c r="I25" s="191">
        <f t="shared" si="7"/>
        <v>3360.8652492800006</v>
      </c>
      <c r="J25" s="191">
        <f t="shared" si="7"/>
        <v>5521.4214809599998</v>
      </c>
      <c r="K25" s="191">
        <f t="shared" si="7"/>
        <v>5521.4214809599998</v>
      </c>
      <c r="L25" s="191">
        <f t="shared" si="7"/>
        <v>5521.4214809599998</v>
      </c>
      <c r="N25" s="189" t="s">
        <v>290</v>
      </c>
      <c r="O25" s="191">
        <f t="shared" ref="O25:W25" si="8">O22*O17</f>
        <v>5578.727616000001</v>
      </c>
      <c r="P25" s="191">
        <f t="shared" si="8"/>
        <v>4968.6697368000014</v>
      </c>
      <c r="Q25" s="191">
        <f t="shared" si="8"/>
        <v>4333.6738368000015</v>
      </c>
      <c r="R25" s="191">
        <f t="shared" si="8"/>
        <v>2840.0795136000006</v>
      </c>
      <c r="S25" s="191">
        <f t="shared" si="8"/>
        <v>2529.5045932800008</v>
      </c>
      <c r="T25" s="191">
        <f t="shared" si="8"/>
        <v>2206.2339532800011</v>
      </c>
      <c r="U25" s="191">
        <f t="shared" si="8"/>
        <v>4665.8449152000003</v>
      </c>
      <c r="V25" s="191">
        <f t="shared" si="8"/>
        <v>4155.6146889600004</v>
      </c>
      <c r="W25" s="191">
        <f t="shared" si="8"/>
        <v>3624.5272089600003</v>
      </c>
      <c r="Z25" s="186"/>
      <c r="AA25" s="187"/>
      <c r="AB25" s="198"/>
      <c r="AC25" s="187"/>
      <c r="AD25" s="187"/>
      <c r="AE25" s="187"/>
      <c r="AF25" s="187"/>
      <c r="AG25" s="187"/>
      <c r="AH25" s="187"/>
      <c r="AI25" s="187"/>
      <c r="AJ25" s="187"/>
      <c r="AK25" s="187"/>
      <c r="AL25" s="187"/>
      <c r="AM25" s="187"/>
      <c r="AN25" s="187"/>
      <c r="AO25" s="188"/>
      <c r="AR25" s="186"/>
      <c r="AS25" s="187"/>
      <c r="AT25" s="187"/>
      <c r="AU25" s="187"/>
      <c r="AV25" s="187"/>
      <c r="AW25" s="187"/>
      <c r="AX25" s="187"/>
      <c r="AY25" s="187"/>
      <c r="AZ25" s="187"/>
      <c r="BA25" s="187"/>
      <c r="BB25" s="187"/>
      <c r="BC25" s="187"/>
      <c r="BD25" s="187"/>
      <c r="BE25" s="187"/>
      <c r="BF25" s="188"/>
      <c r="BI25" s="186"/>
      <c r="BJ25" s="187"/>
      <c r="BK25" s="187"/>
      <c r="BL25" s="187"/>
      <c r="BM25" s="187"/>
      <c r="BN25" s="187"/>
      <c r="BO25" s="187"/>
      <c r="BP25" s="187"/>
      <c r="BQ25" s="187"/>
      <c r="BR25" s="187"/>
      <c r="BS25" s="187"/>
      <c r="BT25" s="187"/>
      <c r="BU25" s="187"/>
      <c r="BV25" s="187"/>
      <c r="BW25" s="188"/>
    </row>
    <row r="26" spans="3:75" ht="14.25" thickTop="1" thickBot="1">
      <c r="C26" s="189" t="s">
        <v>291</v>
      </c>
      <c r="D26" s="191">
        <f t="shared" ref="D26:L26" si="9">D25*D18</f>
        <v>495127.46976000007</v>
      </c>
      <c r="E26" s="191">
        <f t="shared" si="9"/>
        <v>495127.46976000007</v>
      </c>
      <c r="F26" s="191">
        <f t="shared" si="9"/>
        <v>495127.46976000007</v>
      </c>
      <c r="G26" s="191">
        <f t="shared" si="9"/>
        <v>252064.89369600004</v>
      </c>
      <c r="H26" s="191">
        <f t="shared" si="9"/>
        <v>252064.89369600004</v>
      </c>
      <c r="I26" s="191">
        <f t="shared" si="9"/>
        <v>252064.89369600004</v>
      </c>
      <c r="J26" s="191">
        <f t="shared" si="9"/>
        <v>414106.611072</v>
      </c>
      <c r="K26" s="191">
        <f t="shared" si="9"/>
        <v>414106.611072</v>
      </c>
      <c r="L26" s="191">
        <f t="shared" si="9"/>
        <v>414106.611072</v>
      </c>
      <c r="N26" s="189" t="s">
        <v>291</v>
      </c>
      <c r="O26" s="191">
        <f t="shared" ref="O26:W26" si="10">O25*O18</f>
        <v>418404.57120000006</v>
      </c>
      <c r="P26" s="191">
        <f t="shared" si="10"/>
        <v>372650.2302600001</v>
      </c>
      <c r="Q26" s="191">
        <f t="shared" si="10"/>
        <v>325025.53776000009</v>
      </c>
      <c r="R26" s="191">
        <f t="shared" si="10"/>
        <v>213005.96352000005</v>
      </c>
      <c r="S26" s="191">
        <f t="shared" si="10"/>
        <v>189712.84449600006</v>
      </c>
      <c r="T26" s="191">
        <f t="shared" si="10"/>
        <v>165467.54649600008</v>
      </c>
      <c r="U26" s="191">
        <f t="shared" si="10"/>
        <v>349938.36864</v>
      </c>
      <c r="V26" s="191">
        <f t="shared" si="10"/>
        <v>311671.10167200002</v>
      </c>
      <c r="W26" s="191">
        <f t="shared" si="10"/>
        <v>271839.54067200003</v>
      </c>
      <c r="Z26" s="186"/>
      <c r="AA26" s="187"/>
      <c r="AB26" s="187"/>
      <c r="AC26" s="187"/>
      <c r="AD26" s="187"/>
      <c r="AE26" s="187"/>
      <c r="AF26" s="187"/>
      <c r="AG26" s="187"/>
      <c r="AH26" s="187"/>
      <c r="AI26" s="187"/>
      <c r="AJ26" s="187"/>
      <c r="AK26" s="187"/>
      <c r="AL26" s="187"/>
      <c r="AM26" s="187"/>
      <c r="AN26" s="187"/>
      <c r="AO26" s="188"/>
      <c r="AR26" s="186"/>
      <c r="AS26" s="187"/>
      <c r="AT26" s="187"/>
      <c r="AU26" s="187"/>
      <c r="AV26" s="187"/>
      <c r="AW26" s="187"/>
      <c r="AX26" s="187"/>
      <c r="AY26" s="187"/>
      <c r="AZ26" s="187"/>
      <c r="BA26" s="187"/>
      <c r="BB26" s="187"/>
      <c r="BC26" s="187"/>
      <c r="BD26" s="187"/>
      <c r="BE26" s="187"/>
      <c r="BF26" s="188"/>
      <c r="BI26" s="186"/>
      <c r="BJ26" s="187"/>
      <c r="BK26" s="187"/>
      <c r="BL26" s="187"/>
      <c r="BM26" s="187"/>
      <c r="BN26" s="187"/>
      <c r="BO26" s="187"/>
      <c r="BP26" s="187"/>
      <c r="BQ26" s="187"/>
      <c r="BR26" s="187"/>
      <c r="BS26" s="187"/>
      <c r="BT26" s="187"/>
      <c r="BU26" s="187"/>
      <c r="BV26" s="187"/>
      <c r="BW26" s="188"/>
    </row>
    <row r="27" spans="3:75" ht="16.5" thickTop="1" thickBot="1">
      <c r="C27" s="199" t="s">
        <v>292</v>
      </c>
      <c r="D27" s="200"/>
      <c r="E27" s="200"/>
      <c r="F27" s="200"/>
      <c r="G27" s="200"/>
      <c r="H27" s="200"/>
      <c r="I27" s="200"/>
      <c r="J27" s="200"/>
      <c r="K27" s="200"/>
      <c r="L27" s="200"/>
      <c r="N27" s="199" t="s">
        <v>292</v>
      </c>
      <c r="O27" s="200"/>
      <c r="P27" s="200"/>
      <c r="Q27" s="200"/>
      <c r="R27" s="200"/>
      <c r="S27" s="200"/>
      <c r="T27" s="200"/>
      <c r="U27" s="200"/>
      <c r="V27" s="200"/>
      <c r="W27" s="200"/>
      <c r="Z27" s="186"/>
      <c r="AA27" s="187"/>
      <c r="AB27" s="343" t="s">
        <v>293</v>
      </c>
      <c r="AC27" s="346"/>
      <c r="AD27" s="346"/>
      <c r="AE27" s="346"/>
      <c r="AF27" s="346"/>
      <c r="AG27" s="346"/>
      <c r="AH27" s="346"/>
      <c r="AI27" s="346"/>
      <c r="AJ27" s="346"/>
      <c r="AK27" s="346"/>
      <c r="AL27" s="346"/>
      <c r="AM27" s="346"/>
      <c r="AN27" s="187"/>
      <c r="AO27" s="188"/>
      <c r="AR27" s="186"/>
      <c r="AS27" s="187"/>
      <c r="AT27" s="187"/>
      <c r="AU27" s="187"/>
      <c r="AV27" s="187"/>
      <c r="AW27" s="187"/>
      <c r="AX27" s="187"/>
      <c r="AY27" s="187"/>
      <c r="AZ27" s="187"/>
      <c r="BA27" s="187"/>
      <c r="BB27" s="187"/>
      <c r="BC27" s="187"/>
      <c r="BD27" s="187"/>
      <c r="BE27" s="187"/>
      <c r="BF27" s="188"/>
      <c r="BI27" s="186"/>
      <c r="BJ27" s="187"/>
      <c r="BK27" s="187"/>
      <c r="BL27" s="187"/>
      <c r="BM27" s="187"/>
      <c r="BN27" s="187"/>
      <c r="BO27" s="187"/>
      <c r="BP27" s="187"/>
      <c r="BQ27" s="187"/>
      <c r="BR27" s="187"/>
      <c r="BS27" s="187"/>
      <c r="BT27" s="187"/>
      <c r="BU27" s="187"/>
      <c r="BV27" s="187"/>
      <c r="BW27" s="188"/>
    </row>
    <row r="28" spans="3:75" ht="14.25" thickTop="1" thickBot="1">
      <c r="C28" s="189" t="s">
        <v>294</v>
      </c>
      <c r="D28" s="191">
        <f>D20*D26</f>
        <v>1234.5952935254402</v>
      </c>
      <c r="E28" s="191">
        <f t="shared" ref="E28:L28" si="11">E20*E26</f>
        <v>1234.5952935254402</v>
      </c>
      <c r="F28" s="191">
        <f t="shared" si="11"/>
        <v>1234.5952935254402</v>
      </c>
      <c r="G28" s="191">
        <f t="shared" si="11"/>
        <v>628.52124034022415</v>
      </c>
      <c r="H28" s="191">
        <f t="shared" si="11"/>
        <v>628.52124034022415</v>
      </c>
      <c r="I28" s="191">
        <f t="shared" si="11"/>
        <v>628.52124034022415</v>
      </c>
      <c r="J28" s="191">
        <f t="shared" si="11"/>
        <v>1032.570609130368</v>
      </c>
      <c r="K28" s="191">
        <f>K20*K26</f>
        <v>1032.570609130368</v>
      </c>
      <c r="L28" s="191">
        <f t="shared" si="11"/>
        <v>1032.570609130368</v>
      </c>
      <c r="N28" s="189" t="s">
        <v>294</v>
      </c>
      <c r="O28" s="191">
        <f>O20*O26</f>
        <v>1043.2875288528003</v>
      </c>
      <c r="P28" s="191">
        <f t="shared" ref="P28:W28" si="12">P20*P26</f>
        <v>929.19954659994028</v>
      </c>
      <c r="Q28" s="191">
        <f t="shared" si="12"/>
        <v>810.4478618174403</v>
      </c>
      <c r="R28" s="191">
        <f t="shared" si="12"/>
        <v>531.12819650688016</v>
      </c>
      <c r="S28" s="191">
        <f t="shared" si="12"/>
        <v>473.04704190542418</v>
      </c>
      <c r="T28" s="191">
        <f t="shared" si="12"/>
        <v>412.5916387434242</v>
      </c>
      <c r="U28" s="191">
        <f t="shared" si="12"/>
        <v>872.56775140416005</v>
      </c>
      <c r="V28" s="191">
        <f t="shared" si="12"/>
        <v>777.14871170176809</v>
      </c>
      <c r="W28" s="191">
        <f t="shared" si="12"/>
        <v>677.82912079276809</v>
      </c>
      <c r="Z28" s="186"/>
      <c r="AA28" s="187"/>
      <c r="AB28" s="346"/>
      <c r="AC28" s="346"/>
      <c r="AD28" s="346"/>
      <c r="AE28" s="346"/>
      <c r="AF28" s="346"/>
      <c r="AG28" s="346"/>
      <c r="AH28" s="346"/>
      <c r="AI28" s="346"/>
      <c r="AJ28" s="346"/>
      <c r="AK28" s="346"/>
      <c r="AL28" s="346"/>
      <c r="AM28" s="346"/>
      <c r="AN28" s="187"/>
      <c r="AO28" s="188"/>
      <c r="AR28" s="186"/>
      <c r="AS28" s="187"/>
      <c r="AT28" s="187"/>
      <c r="AU28" s="187"/>
      <c r="AV28" s="187"/>
      <c r="AW28" s="187"/>
      <c r="AX28" s="187"/>
      <c r="AY28" s="187"/>
      <c r="AZ28" s="187"/>
      <c r="BA28" s="187"/>
      <c r="BB28" s="187"/>
      <c r="BC28" s="187"/>
      <c r="BD28" s="187"/>
      <c r="BE28" s="187"/>
      <c r="BF28" s="188"/>
      <c r="BI28" s="186"/>
      <c r="BJ28" s="187"/>
      <c r="BK28" s="187"/>
      <c r="BL28" s="187"/>
      <c r="BM28" s="187"/>
      <c r="BN28" s="187"/>
      <c r="BO28" s="187"/>
      <c r="BP28" s="187"/>
      <c r="BQ28" s="187"/>
      <c r="BR28" s="187"/>
      <c r="BS28" s="187"/>
      <c r="BT28" s="187"/>
      <c r="BU28" s="187"/>
      <c r="BV28" s="187"/>
      <c r="BW28" s="188"/>
    </row>
    <row r="29" spans="3:75" ht="16.5" thickTop="1" thickBot="1">
      <c r="C29" s="199" t="s">
        <v>295</v>
      </c>
      <c r="N29" s="199" t="s">
        <v>295</v>
      </c>
      <c r="Z29" s="186"/>
      <c r="AA29" s="187"/>
      <c r="AB29" s="346"/>
      <c r="AC29" s="346"/>
      <c r="AD29" s="346"/>
      <c r="AE29" s="346"/>
      <c r="AF29" s="346"/>
      <c r="AG29" s="346"/>
      <c r="AH29" s="346"/>
      <c r="AI29" s="346"/>
      <c r="AJ29" s="346"/>
      <c r="AK29" s="346"/>
      <c r="AL29" s="346"/>
      <c r="AM29" s="346"/>
      <c r="AN29" s="187"/>
      <c r="AO29" s="188"/>
      <c r="AR29" s="186"/>
      <c r="AS29" s="187"/>
      <c r="AT29" s="187"/>
      <c r="AU29" s="187"/>
      <c r="AV29" s="187"/>
      <c r="AW29" s="187"/>
      <c r="AX29" s="187"/>
      <c r="AY29" s="187"/>
      <c r="AZ29" s="187"/>
      <c r="BA29" s="187"/>
      <c r="BB29" s="187"/>
      <c r="BC29" s="187"/>
      <c r="BD29" s="187"/>
      <c r="BE29" s="187"/>
      <c r="BF29" s="188"/>
      <c r="BI29" s="186"/>
      <c r="BJ29" s="187"/>
      <c r="BK29" s="187"/>
      <c r="BL29" s="187"/>
      <c r="BM29" s="187"/>
      <c r="BN29" s="187"/>
      <c r="BO29" s="187"/>
      <c r="BP29" s="187"/>
      <c r="BQ29" s="187"/>
      <c r="BR29" s="187"/>
      <c r="BS29" s="187"/>
      <c r="BT29" s="187"/>
      <c r="BU29" s="187"/>
      <c r="BV29" s="187"/>
      <c r="BW29" s="188"/>
    </row>
    <row r="30" spans="3:75" ht="14.25" thickTop="1" thickBot="1">
      <c r="C30" s="189" t="s">
        <v>296</v>
      </c>
      <c r="D30" s="201">
        <f>D21*D26</f>
        <v>55.058174637312007</v>
      </c>
      <c r="E30" s="201">
        <f t="shared" ref="E30:L30" si="13">E21*E26</f>
        <v>55.058174637312007</v>
      </c>
      <c r="F30" s="201">
        <f t="shared" si="13"/>
        <v>55.058174637312007</v>
      </c>
      <c r="G30" s="201">
        <f t="shared" si="13"/>
        <v>28.029616178995202</v>
      </c>
      <c r="H30" s="201">
        <f t="shared" si="13"/>
        <v>28.029616178995202</v>
      </c>
      <c r="I30" s="201">
        <f t="shared" si="13"/>
        <v>28.029616178995202</v>
      </c>
      <c r="J30" s="201">
        <f t="shared" si="13"/>
        <v>46.048655151206397</v>
      </c>
      <c r="K30" s="201">
        <f t="shared" si="13"/>
        <v>46.048655151206397</v>
      </c>
      <c r="L30" s="201">
        <f t="shared" si="13"/>
        <v>46.048655151206397</v>
      </c>
      <c r="N30" s="189" t="s">
        <v>296</v>
      </c>
      <c r="O30" s="201">
        <f>O21*O26</f>
        <v>46.526588317440002</v>
      </c>
      <c r="P30" s="201">
        <f t="shared" ref="P30:W30" si="14">P21*P26</f>
        <v>41.438705604912009</v>
      </c>
      <c r="Q30" s="201">
        <f t="shared" si="14"/>
        <v>36.142839798912007</v>
      </c>
      <c r="R30" s="201">
        <f t="shared" si="14"/>
        <v>23.686263143424004</v>
      </c>
      <c r="S30" s="201">
        <f t="shared" si="14"/>
        <v>21.096068307955207</v>
      </c>
      <c r="T30" s="201">
        <f t="shared" si="14"/>
        <v>18.399991170355207</v>
      </c>
      <c r="U30" s="201">
        <f t="shared" si="14"/>
        <v>38.913146592767994</v>
      </c>
      <c r="V30" s="201">
        <f t="shared" si="14"/>
        <v>34.657826505926401</v>
      </c>
      <c r="W30" s="201">
        <f t="shared" si="14"/>
        <v>30.228556922726401</v>
      </c>
      <c r="Z30" s="202"/>
      <c r="AA30" s="203"/>
      <c r="AB30" s="203"/>
      <c r="AC30" s="203"/>
      <c r="AD30" s="203"/>
      <c r="AE30" s="203"/>
      <c r="AF30" s="203"/>
      <c r="AG30" s="203"/>
      <c r="AH30" s="203"/>
      <c r="AI30" s="203"/>
      <c r="AJ30" s="203"/>
      <c r="AK30" s="203"/>
      <c r="AL30" s="203"/>
      <c r="AM30" s="203"/>
      <c r="AN30" s="203"/>
      <c r="AO30" s="204"/>
      <c r="AR30" s="186"/>
      <c r="AS30" s="187"/>
      <c r="AT30" s="187"/>
      <c r="AU30" s="187"/>
      <c r="AV30" s="187"/>
      <c r="AW30" s="187"/>
      <c r="AX30" s="187"/>
      <c r="AY30" s="187"/>
      <c r="AZ30" s="187"/>
      <c r="BA30" s="187"/>
      <c r="BB30" s="187"/>
      <c r="BC30" s="187"/>
      <c r="BD30" s="187"/>
      <c r="BE30" s="187"/>
      <c r="BF30" s="188"/>
      <c r="BI30" s="186"/>
      <c r="BJ30" s="187"/>
      <c r="BK30" s="187"/>
      <c r="BL30" s="187"/>
      <c r="BM30" s="187"/>
      <c r="BN30" s="187"/>
      <c r="BO30" s="187"/>
      <c r="BP30" s="187"/>
      <c r="BQ30" s="187"/>
      <c r="BR30" s="187"/>
      <c r="BS30" s="187"/>
      <c r="BT30" s="187"/>
      <c r="BU30" s="187"/>
      <c r="BV30" s="187"/>
      <c r="BW30" s="188"/>
    </row>
    <row r="31" spans="3:75" ht="16.5" thickTop="1" thickBot="1">
      <c r="C31" s="199" t="s">
        <v>297</v>
      </c>
      <c r="N31" s="199" t="s">
        <v>297</v>
      </c>
      <c r="AR31" s="186"/>
      <c r="AS31" s="187"/>
      <c r="AT31" s="187"/>
      <c r="AU31" s="187"/>
      <c r="AV31" s="187"/>
      <c r="AW31" s="187"/>
      <c r="AX31" s="187"/>
      <c r="AY31" s="187"/>
      <c r="AZ31" s="187"/>
      <c r="BA31" s="187"/>
      <c r="BB31" s="187"/>
      <c r="BC31" s="187"/>
      <c r="BD31" s="187"/>
      <c r="BE31" s="187"/>
      <c r="BF31" s="188"/>
      <c r="BI31" s="186"/>
      <c r="BJ31" s="187"/>
      <c r="BK31" s="187"/>
      <c r="BL31" s="187"/>
      <c r="BM31" s="187"/>
      <c r="BN31" s="187"/>
      <c r="BO31" s="187"/>
      <c r="BP31" s="187"/>
      <c r="BQ31" s="187"/>
      <c r="BR31" s="187"/>
      <c r="BS31" s="187"/>
      <c r="BT31" s="187"/>
      <c r="BU31" s="187"/>
      <c r="BV31" s="187"/>
      <c r="BW31" s="188"/>
    </row>
    <row r="32" spans="3:75" ht="14.25" thickTop="1" thickBot="1">
      <c r="C32" s="189" t="s">
        <v>294</v>
      </c>
      <c r="D32" s="191">
        <f>D28*'SF Input Assumptions'!$D$19</f>
        <v>681.49660202604309</v>
      </c>
      <c r="E32" s="191">
        <f>E28*'SF Input Assumptions'!$D$19</f>
        <v>681.49660202604309</v>
      </c>
      <c r="F32" s="191">
        <f>F28*'SF Input Assumptions'!$D$19</f>
        <v>681.49660202604309</v>
      </c>
      <c r="G32" s="191">
        <f>G28*'SF Input Assumptions'!$D$19</f>
        <v>346.94372466780374</v>
      </c>
      <c r="H32" s="191">
        <f>H28*'SF Input Assumptions'!$D$19</f>
        <v>346.94372466780374</v>
      </c>
      <c r="I32" s="191">
        <f>I28*'SF Input Assumptions'!$D$19</f>
        <v>346.94372466780374</v>
      </c>
      <c r="J32" s="191">
        <f>J28*'SF Input Assumptions'!$D$19</f>
        <v>569.97897623996323</v>
      </c>
      <c r="K32" s="191">
        <f>K28*'SF Input Assumptions'!$D$19</f>
        <v>569.97897623996323</v>
      </c>
      <c r="L32" s="191">
        <f>L28*'SF Input Assumptions'!$D$19</f>
        <v>569.97897623996323</v>
      </c>
      <c r="N32" s="189" t="s">
        <v>294</v>
      </c>
      <c r="O32" s="191">
        <f>O28*'SF Input Assumptions'!$D$19</f>
        <v>575.89471592674579</v>
      </c>
      <c r="P32" s="191">
        <f>P28*'SF Input Assumptions'!$D$19</f>
        <v>512.91814972316706</v>
      </c>
      <c r="Q32" s="191">
        <f>Q28*'SF Input Assumptions'!$D$19</f>
        <v>447.36721972322709</v>
      </c>
      <c r="R32" s="191">
        <f>R28*'SF Input Assumptions'!$D$19</f>
        <v>293.1827644717979</v>
      </c>
      <c r="S32" s="191">
        <f>S28*'SF Input Assumptions'!$D$19</f>
        <v>261.12196713179418</v>
      </c>
      <c r="T32" s="191">
        <f>T28*'SF Input Assumptions'!$D$19</f>
        <v>227.75058458637017</v>
      </c>
      <c r="U32" s="191">
        <f>U28*'SF Input Assumptions'!$D$19</f>
        <v>481.6573987750964</v>
      </c>
      <c r="V32" s="191">
        <f>V28*'SF Input Assumptions'!$D$19</f>
        <v>428.98608885937603</v>
      </c>
      <c r="W32" s="191">
        <f>W28*'SF Input Assumptions'!$D$19</f>
        <v>374.161674677608</v>
      </c>
      <c r="AR32" s="186"/>
      <c r="AS32" s="187"/>
      <c r="AT32" s="187"/>
      <c r="AU32" s="187"/>
      <c r="AV32" s="187"/>
      <c r="AW32" s="187"/>
      <c r="AX32" s="187"/>
      <c r="AY32" s="187"/>
      <c r="AZ32" s="187"/>
      <c r="BA32" s="187"/>
      <c r="BB32" s="187"/>
      <c r="BC32" s="187"/>
      <c r="BD32" s="187"/>
      <c r="BE32" s="187"/>
      <c r="BF32" s="188"/>
      <c r="BI32" s="186"/>
      <c r="BJ32" s="187"/>
      <c r="BK32" s="187"/>
      <c r="BL32" s="187"/>
      <c r="BM32" s="187"/>
      <c r="BN32" s="187"/>
      <c r="BO32" s="187"/>
      <c r="BP32" s="187"/>
      <c r="BQ32" s="187"/>
      <c r="BR32" s="187"/>
      <c r="BS32" s="187"/>
      <c r="BT32" s="187"/>
      <c r="BU32" s="187"/>
      <c r="BV32" s="187"/>
      <c r="BW32" s="188"/>
    </row>
    <row r="33" spans="2:75" ht="14.25" thickTop="1" thickBot="1">
      <c r="C33" s="189" t="s">
        <v>296</v>
      </c>
      <c r="D33" s="201">
        <f>D30*(1-'SF Input Assumptions'!$D$19)</f>
        <v>24.666062237515778</v>
      </c>
      <c r="E33" s="201">
        <f>E30*(1-'SF Input Assumptions'!$D$19)</f>
        <v>24.666062237515778</v>
      </c>
      <c r="F33" s="201">
        <f>F30*(1-'SF Input Assumptions'!$D$19)</f>
        <v>24.666062237515778</v>
      </c>
      <c r="G33" s="201">
        <f>G30*(1-'SF Input Assumptions'!$D$19)</f>
        <v>12.557268048189849</v>
      </c>
      <c r="H33" s="201">
        <f>H30*(1-'SF Input Assumptions'!$D$19)</f>
        <v>12.557268048189849</v>
      </c>
      <c r="I33" s="201">
        <f>I30*(1-'SF Input Assumptions'!$D$19)</f>
        <v>12.557268048189849</v>
      </c>
      <c r="J33" s="201">
        <f>J30*(1-'SF Input Assumptions'!$D$19)</f>
        <v>20.629797507740463</v>
      </c>
      <c r="K33" s="201">
        <f>K30*(1-'SF Input Assumptions'!$D$19)</f>
        <v>20.629797507740463</v>
      </c>
      <c r="L33" s="201">
        <f>L30*(1-'SF Input Assumptions'!$D$19)</f>
        <v>20.629797507740463</v>
      </c>
      <c r="N33" s="189" t="s">
        <v>296</v>
      </c>
      <c r="O33" s="201">
        <f>O30*(1-'SF Input Assumptions'!$D$19)</f>
        <v>20.843911566213119</v>
      </c>
      <c r="P33" s="201">
        <f>P30*(1-'SF Input Assumptions'!$D$19)</f>
        <v>18.564540111000579</v>
      </c>
      <c r="Q33" s="201">
        <f>Q30*(1-'SF Input Assumptions'!$D$19)</f>
        <v>16.191992229912579</v>
      </c>
      <c r="R33" s="201">
        <f>R30*(1-'SF Input Assumptions'!$D$19)</f>
        <v>10.611445888253952</v>
      </c>
      <c r="S33" s="201">
        <f>S30*(1-'SF Input Assumptions'!$D$19)</f>
        <v>9.4510386019639316</v>
      </c>
      <c r="T33" s="201">
        <f>T30*(1-'SF Input Assumptions'!$D$19)</f>
        <v>8.2431960443191326</v>
      </c>
      <c r="U33" s="201">
        <f>U30*(1-'SF Input Assumptions'!$D$19)</f>
        <v>17.433089673560058</v>
      </c>
      <c r="V33" s="201">
        <f>V30*(1-'SF Input Assumptions'!$D$19)</f>
        <v>15.526706274655027</v>
      </c>
      <c r="W33" s="201">
        <f>W30*(1-'SF Input Assumptions'!$D$19)</f>
        <v>13.542393501381426</v>
      </c>
      <c r="AR33" s="186"/>
      <c r="AS33" s="187"/>
      <c r="AT33" s="187"/>
      <c r="AU33" s="187"/>
      <c r="AV33" s="187"/>
      <c r="AW33" s="187"/>
      <c r="AX33" s="187"/>
      <c r="AY33" s="187"/>
      <c r="AZ33" s="187"/>
      <c r="BA33" s="187"/>
      <c r="BB33" s="187"/>
      <c r="BC33" s="187"/>
      <c r="BD33" s="187"/>
      <c r="BE33" s="187"/>
      <c r="BF33" s="188"/>
      <c r="BI33" s="186"/>
      <c r="BJ33" s="187"/>
      <c r="BK33" s="187"/>
      <c r="BL33" s="187"/>
      <c r="BM33" s="187"/>
      <c r="BN33" s="187"/>
      <c r="BO33" s="187"/>
      <c r="BP33" s="187"/>
      <c r="BQ33" s="187"/>
      <c r="BR33" s="187"/>
      <c r="BS33" s="187"/>
      <c r="BT33" s="187"/>
      <c r="BU33" s="187"/>
      <c r="BV33" s="187"/>
      <c r="BW33" s="188"/>
    </row>
    <row r="34" spans="2:75" ht="13.5" thickTop="1">
      <c r="Z34" s="183"/>
      <c r="AA34" s="184"/>
      <c r="AB34" s="184"/>
      <c r="AC34" s="184"/>
      <c r="AD34" s="184"/>
      <c r="AE34" s="184"/>
      <c r="AF34" s="184"/>
      <c r="AG34" s="184"/>
      <c r="AH34" s="184"/>
      <c r="AI34" s="184"/>
      <c r="AJ34" s="184"/>
      <c r="AK34" s="184"/>
      <c r="AL34" s="184"/>
      <c r="AM34" s="184"/>
      <c r="AN34" s="184"/>
      <c r="AO34" s="185"/>
      <c r="AR34" s="186"/>
      <c r="AS34" s="187"/>
      <c r="AT34" s="187"/>
      <c r="AU34" s="187"/>
      <c r="AV34" s="187"/>
      <c r="AW34" s="187"/>
      <c r="AX34" s="187"/>
      <c r="AY34" s="187"/>
      <c r="AZ34" s="187"/>
      <c r="BA34" s="187"/>
      <c r="BB34" s="187"/>
      <c r="BC34" s="187"/>
      <c r="BD34" s="187"/>
      <c r="BE34" s="187"/>
      <c r="BF34" s="188"/>
      <c r="BI34" s="186"/>
      <c r="BJ34" s="187"/>
      <c r="BK34" s="187"/>
      <c r="BL34" s="187"/>
      <c r="BM34" s="187"/>
      <c r="BN34" s="187"/>
      <c r="BO34" s="187"/>
      <c r="BP34" s="187"/>
      <c r="BQ34" s="187"/>
      <c r="BR34" s="187"/>
      <c r="BS34" s="187"/>
      <c r="BT34" s="187"/>
      <c r="BU34" s="187"/>
      <c r="BV34" s="187"/>
      <c r="BW34" s="188"/>
    </row>
    <row r="35" spans="2:75" ht="15">
      <c r="B35" s="205" t="s">
        <v>298</v>
      </c>
      <c r="C35" s="178"/>
      <c r="D35" s="178"/>
      <c r="E35" s="178"/>
      <c r="F35" s="178"/>
      <c r="G35" s="178"/>
      <c r="H35" s="178"/>
      <c r="I35" s="120" t="s">
        <v>211</v>
      </c>
      <c r="J35" s="178"/>
      <c r="K35" s="178"/>
      <c r="L35" s="178"/>
      <c r="Z35" s="186"/>
      <c r="AA35" s="187"/>
      <c r="AB35" s="187"/>
      <c r="AC35" s="187"/>
      <c r="AD35" s="187"/>
      <c r="AE35" s="187"/>
      <c r="AF35" s="187"/>
      <c r="AG35" s="187"/>
      <c r="AH35" s="187"/>
      <c r="AI35" s="187"/>
      <c r="AJ35" s="187"/>
      <c r="AK35" s="187"/>
      <c r="AL35" s="187"/>
      <c r="AM35" s="187"/>
      <c r="AN35" s="187"/>
      <c r="AO35" s="188"/>
      <c r="AR35" s="186"/>
      <c r="AS35" s="187"/>
      <c r="AT35" s="187"/>
      <c r="AU35" s="187"/>
      <c r="AV35" s="187"/>
      <c r="AW35" s="187"/>
      <c r="AX35" s="187"/>
      <c r="AY35" s="187"/>
      <c r="AZ35" s="187"/>
      <c r="BA35" s="187"/>
      <c r="BB35" s="187"/>
      <c r="BC35" s="187"/>
      <c r="BD35" s="187"/>
      <c r="BE35" s="187"/>
      <c r="BF35" s="188"/>
      <c r="BI35" s="186"/>
      <c r="BJ35" s="187"/>
      <c r="BK35" s="187"/>
      <c r="BL35" s="187"/>
      <c r="BM35" s="187"/>
      <c r="BN35" s="187"/>
      <c r="BO35" s="187"/>
      <c r="BP35" s="187"/>
      <c r="BQ35" s="187"/>
      <c r="BR35" s="187"/>
      <c r="BS35" s="187"/>
      <c r="BT35" s="187"/>
      <c r="BU35" s="187"/>
      <c r="BV35" s="187"/>
      <c r="BW35" s="188"/>
    </row>
    <row r="36" spans="2:75" ht="13.5" thickBot="1">
      <c r="Z36" s="186"/>
      <c r="AA36" s="187"/>
      <c r="AB36" s="187"/>
      <c r="AC36" s="187"/>
      <c r="AD36" s="187"/>
      <c r="AE36" s="187"/>
      <c r="AF36" s="187"/>
      <c r="AG36" s="187"/>
      <c r="AH36" s="187"/>
      <c r="AI36" s="187"/>
      <c r="AJ36" s="187"/>
      <c r="AK36" s="187"/>
      <c r="AL36" s="187"/>
      <c r="AM36" s="187"/>
      <c r="AN36" s="187"/>
      <c r="AO36" s="188"/>
      <c r="AR36" s="186"/>
      <c r="AS36" s="187"/>
      <c r="AT36" s="187"/>
      <c r="AU36" s="187"/>
      <c r="AV36" s="187"/>
      <c r="AW36" s="187"/>
      <c r="AX36" s="187"/>
      <c r="AY36" s="187"/>
      <c r="AZ36" s="187"/>
      <c r="BA36" s="187"/>
      <c r="BB36" s="187"/>
      <c r="BC36" s="187"/>
      <c r="BD36" s="187"/>
      <c r="BE36" s="187"/>
      <c r="BF36" s="188"/>
      <c r="BI36" s="186"/>
      <c r="BJ36" s="187"/>
      <c r="BK36" s="187"/>
      <c r="BL36" s="187"/>
      <c r="BM36" s="187"/>
      <c r="BN36" s="187"/>
      <c r="BO36" s="187"/>
      <c r="BP36" s="187"/>
      <c r="BQ36" s="187"/>
      <c r="BR36" s="187"/>
      <c r="BS36" s="187"/>
      <c r="BT36" s="187"/>
      <c r="BU36" s="187"/>
      <c r="BV36" s="187"/>
      <c r="BW36" s="188"/>
    </row>
    <row r="37" spans="2:75" ht="16.5" customHeight="1" thickTop="1" thickBot="1">
      <c r="C37" s="182" t="s">
        <v>268</v>
      </c>
      <c r="D37" s="344" t="str">
        <f>$D$9</f>
        <v>Primary Shower</v>
      </c>
      <c r="E37" s="344"/>
      <c r="F37" s="344"/>
      <c r="G37" s="344" t="str">
        <f>$G$9</f>
        <v>Secondary Shower</v>
      </c>
      <c r="H37" s="344"/>
      <c r="I37" s="344"/>
      <c r="J37" s="344" t="str">
        <f>$J$9</f>
        <v>Any Shower</v>
      </c>
      <c r="K37" s="344"/>
      <c r="L37" s="344"/>
      <c r="Z37" s="186"/>
      <c r="AA37" s="187"/>
      <c r="AB37" s="187"/>
      <c r="AC37" s="187"/>
      <c r="AD37" s="187"/>
      <c r="AE37" s="187"/>
      <c r="AF37" s="187"/>
      <c r="AG37" s="187"/>
      <c r="AH37" s="187"/>
      <c r="AI37" s="187"/>
      <c r="AJ37" s="187"/>
      <c r="AK37" s="187"/>
      <c r="AL37" s="187"/>
      <c r="AM37" s="187"/>
      <c r="AN37" s="187"/>
      <c r="AO37" s="188"/>
      <c r="AR37" s="186"/>
      <c r="AS37" s="187"/>
      <c r="AT37" s="187"/>
      <c r="AU37" s="187"/>
      <c r="AV37" s="187"/>
      <c r="AW37" s="187"/>
      <c r="AX37" s="187"/>
      <c r="AY37" s="187"/>
      <c r="AZ37" s="187"/>
      <c r="BA37" s="187"/>
      <c r="BB37" s="187"/>
      <c r="BC37" s="187"/>
      <c r="BD37" s="187"/>
      <c r="BE37" s="187"/>
      <c r="BF37" s="188"/>
      <c r="BI37" s="186"/>
      <c r="BJ37" s="187"/>
      <c r="BK37" s="187"/>
      <c r="BL37" s="187"/>
      <c r="BM37" s="187"/>
      <c r="BN37" s="187"/>
      <c r="BO37" s="187"/>
      <c r="BP37" s="187"/>
      <c r="BQ37" s="187"/>
      <c r="BR37" s="187"/>
      <c r="BS37" s="187"/>
      <c r="BT37" s="187"/>
      <c r="BU37" s="187"/>
      <c r="BV37" s="187"/>
      <c r="BW37" s="188"/>
    </row>
    <row r="38" spans="2:75" ht="31.5" customHeight="1" thickTop="1" thickBot="1">
      <c r="C38" s="182" t="s">
        <v>272</v>
      </c>
      <c r="D38" s="134" t="s">
        <v>273</v>
      </c>
      <c r="E38" s="134" t="s">
        <v>274</v>
      </c>
      <c r="F38" s="134" t="s">
        <v>275</v>
      </c>
      <c r="G38" s="134" t="s">
        <v>273</v>
      </c>
      <c r="H38" s="134" t="s">
        <v>274</v>
      </c>
      <c r="I38" s="134" t="s">
        <v>275</v>
      </c>
      <c r="J38" s="134" t="s">
        <v>273</v>
      </c>
      <c r="K38" s="134" t="s">
        <v>274</v>
      </c>
      <c r="L38" s="134" t="s">
        <v>275</v>
      </c>
      <c r="Z38" s="186"/>
      <c r="AA38" s="187"/>
      <c r="AB38" s="187"/>
      <c r="AC38" s="187"/>
      <c r="AD38" s="187"/>
      <c r="AE38" s="187"/>
      <c r="AF38" s="187"/>
      <c r="AG38" s="187"/>
      <c r="AH38" s="187"/>
      <c r="AI38" s="187"/>
      <c r="AJ38" s="187"/>
      <c r="AK38" s="187"/>
      <c r="AL38" s="187"/>
      <c r="AM38" s="187"/>
      <c r="AN38" s="187"/>
      <c r="AO38" s="188"/>
      <c r="AR38" s="186"/>
      <c r="AS38" s="187"/>
      <c r="AT38" s="187"/>
      <c r="AU38" s="187"/>
      <c r="AV38" s="187"/>
      <c r="AW38" s="187"/>
      <c r="AX38" s="187"/>
      <c r="AY38" s="187"/>
      <c r="AZ38" s="187"/>
      <c r="BA38" s="187"/>
      <c r="BB38" s="187"/>
      <c r="BC38" s="187"/>
      <c r="BD38" s="187"/>
      <c r="BE38" s="187"/>
      <c r="BF38" s="188"/>
      <c r="BI38" s="186"/>
      <c r="BJ38" s="187"/>
      <c r="BK38" s="187"/>
      <c r="BL38" s="187"/>
      <c r="BM38" s="187"/>
      <c r="BN38" s="187"/>
      <c r="BO38" s="187"/>
      <c r="BP38" s="187"/>
      <c r="BQ38" s="187"/>
      <c r="BR38" s="187"/>
      <c r="BS38" s="187"/>
      <c r="BT38" s="187"/>
      <c r="BU38" s="187"/>
      <c r="BV38" s="187"/>
      <c r="BW38" s="188"/>
    </row>
    <row r="39" spans="2:75" ht="16.5" thickTop="1" thickBot="1">
      <c r="C39" s="206" t="s">
        <v>299</v>
      </c>
      <c r="D39" s="207"/>
      <c r="E39" s="207"/>
      <c r="F39" s="207"/>
      <c r="G39" s="207"/>
      <c r="H39" s="207"/>
      <c r="I39" s="207"/>
      <c r="J39" s="207"/>
      <c r="K39" s="207"/>
      <c r="L39" s="207"/>
      <c r="Z39" s="186"/>
      <c r="AA39" s="187"/>
      <c r="AB39" s="187"/>
      <c r="AC39" s="187"/>
      <c r="AD39" s="187"/>
      <c r="AE39" s="187"/>
      <c r="AF39" s="187"/>
      <c r="AG39" s="187"/>
      <c r="AH39" s="187"/>
      <c r="AI39" s="187"/>
      <c r="AJ39" s="187"/>
      <c r="AK39" s="187"/>
      <c r="AL39" s="187"/>
      <c r="AM39" s="187"/>
      <c r="AN39" s="187"/>
      <c r="AO39" s="188"/>
      <c r="AR39" s="186"/>
      <c r="AS39" s="187"/>
      <c r="AT39" s="187"/>
      <c r="AU39" s="187"/>
      <c r="AV39" s="187"/>
      <c r="AW39" s="187"/>
      <c r="AX39" s="187"/>
      <c r="AY39" s="187"/>
      <c r="AZ39" s="187"/>
      <c r="BA39" s="187"/>
      <c r="BB39" s="187"/>
      <c r="BC39" s="187"/>
      <c r="BD39" s="187"/>
      <c r="BE39" s="187"/>
      <c r="BF39" s="188"/>
      <c r="BI39" s="186"/>
      <c r="BJ39" s="187"/>
      <c r="BK39" s="187"/>
      <c r="BL39" s="187"/>
      <c r="BM39" s="187"/>
      <c r="BN39" s="187"/>
      <c r="BO39" s="187"/>
      <c r="BP39" s="187"/>
      <c r="BQ39" s="187"/>
      <c r="BR39" s="187"/>
      <c r="BS39" s="187"/>
      <c r="BT39" s="187"/>
      <c r="BU39" s="187"/>
      <c r="BV39" s="187"/>
      <c r="BW39" s="188"/>
    </row>
    <row r="40" spans="2:75" ht="14.25" thickTop="1" thickBot="1">
      <c r="C40" s="189" t="s">
        <v>266</v>
      </c>
      <c r="D40" s="191">
        <f>D22</f>
        <v>9031.0528000000013</v>
      </c>
      <c r="E40" s="191">
        <f t="shared" ref="E40:L40" si="15">E22</f>
        <v>9031.0528000000013</v>
      </c>
      <c r="F40" s="191">
        <f t="shared" si="15"/>
        <v>9031.0528000000013</v>
      </c>
      <c r="G40" s="191">
        <f t="shared" si="15"/>
        <v>4597.6268800000007</v>
      </c>
      <c r="H40" s="191">
        <f t="shared" si="15"/>
        <v>4597.6268800000007</v>
      </c>
      <c r="I40" s="191">
        <f t="shared" si="15"/>
        <v>4597.6268800000007</v>
      </c>
      <c r="J40" s="191">
        <f t="shared" si="15"/>
        <v>7553.2441600000002</v>
      </c>
      <c r="K40" s="191">
        <f t="shared" si="15"/>
        <v>7553.2441600000002</v>
      </c>
      <c r="L40" s="191">
        <f t="shared" si="15"/>
        <v>7553.2441600000002</v>
      </c>
      <c r="Z40" s="186"/>
      <c r="AA40" s="187"/>
      <c r="AB40" s="187"/>
      <c r="AC40" s="187"/>
      <c r="AD40" s="187"/>
      <c r="AE40" s="187"/>
      <c r="AF40" s="187"/>
      <c r="AG40" s="187"/>
      <c r="AH40" s="187"/>
      <c r="AI40" s="187"/>
      <c r="AJ40" s="187"/>
      <c r="AK40" s="187"/>
      <c r="AL40" s="187"/>
      <c r="AM40" s="187"/>
      <c r="AN40" s="187"/>
      <c r="AO40" s="188"/>
      <c r="AR40" s="186"/>
      <c r="AS40" s="187"/>
      <c r="AT40" s="187"/>
      <c r="AU40" s="187"/>
      <c r="AV40" s="187"/>
      <c r="AW40" s="187"/>
      <c r="AX40" s="187"/>
      <c r="AY40" s="187"/>
      <c r="AZ40" s="187"/>
      <c r="BA40" s="187"/>
      <c r="BB40" s="187"/>
      <c r="BC40" s="187"/>
      <c r="BD40" s="187"/>
      <c r="BE40" s="187"/>
      <c r="BF40" s="188"/>
      <c r="BI40" s="186"/>
      <c r="BJ40" s="187"/>
      <c r="BK40" s="187"/>
      <c r="BL40" s="187"/>
      <c r="BM40" s="187"/>
      <c r="BN40" s="187"/>
      <c r="BO40" s="187"/>
      <c r="BP40" s="187"/>
      <c r="BQ40" s="187"/>
      <c r="BR40" s="187"/>
      <c r="BS40" s="187"/>
      <c r="BT40" s="187"/>
      <c r="BU40" s="187"/>
      <c r="BV40" s="187"/>
      <c r="BW40" s="188"/>
    </row>
    <row r="41" spans="2:75" ht="14.25" thickTop="1" thickBot="1">
      <c r="C41" s="189" t="s">
        <v>267</v>
      </c>
      <c r="D41" s="191">
        <f t="shared" ref="D41:L41" si="16">O22</f>
        <v>7389.0432000000019</v>
      </c>
      <c r="E41" s="191">
        <f t="shared" si="16"/>
        <v>6465.412800000001</v>
      </c>
      <c r="F41" s="191">
        <f t="shared" si="16"/>
        <v>5541.7824000000019</v>
      </c>
      <c r="G41" s="191">
        <f t="shared" si="16"/>
        <v>3761.6947200000009</v>
      </c>
      <c r="H41" s="191">
        <f t="shared" si="16"/>
        <v>3291.4828800000009</v>
      </c>
      <c r="I41" s="191">
        <f t="shared" si="16"/>
        <v>2821.271040000001</v>
      </c>
      <c r="J41" s="191">
        <f t="shared" si="16"/>
        <v>6179.9270400000005</v>
      </c>
      <c r="K41" s="191">
        <f t="shared" si="16"/>
        <v>5407.4361600000002</v>
      </c>
      <c r="L41" s="191">
        <f t="shared" si="16"/>
        <v>4634.9452799999999</v>
      </c>
      <c r="Z41" s="186"/>
      <c r="AA41" s="187"/>
      <c r="AB41" s="187"/>
      <c r="AC41" s="187"/>
      <c r="AD41" s="187"/>
      <c r="AE41" s="187"/>
      <c r="AF41" s="187"/>
      <c r="AG41" s="187"/>
      <c r="AH41" s="187"/>
      <c r="AI41" s="187"/>
      <c r="AJ41" s="187"/>
      <c r="AK41" s="187"/>
      <c r="AL41" s="187"/>
      <c r="AM41" s="187"/>
      <c r="AN41" s="187"/>
      <c r="AO41" s="188"/>
      <c r="AR41" s="186"/>
      <c r="AS41" s="187"/>
      <c r="AT41" s="187"/>
      <c r="AU41" s="187"/>
      <c r="AV41" s="187"/>
      <c r="AW41" s="187"/>
      <c r="AX41" s="187"/>
      <c r="AY41" s="187"/>
      <c r="AZ41" s="187"/>
      <c r="BA41" s="187"/>
      <c r="BB41" s="187"/>
      <c r="BC41" s="187"/>
      <c r="BD41" s="187"/>
      <c r="BE41" s="187"/>
      <c r="BF41" s="188"/>
      <c r="BI41" s="186"/>
      <c r="BJ41" s="187"/>
      <c r="BK41" s="187"/>
      <c r="BL41" s="187"/>
      <c r="BM41" s="187"/>
      <c r="BN41" s="187"/>
      <c r="BO41" s="187"/>
      <c r="BP41" s="187"/>
      <c r="BQ41" s="187"/>
      <c r="BR41" s="187"/>
      <c r="BS41" s="187"/>
      <c r="BT41" s="187"/>
      <c r="BU41" s="187"/>
      <c r="BV41" s="187"/>
      <c r="BW41" s="188"/>
    </row>
    <row r="42" spans="2:75" ht="16.5" customHeight="1" thickTop="1" thickBot="1">
      <c r="C42" s="182" t="s">
        <v>202</v>
      </c>
      <c r="D42" s="208">
        <f>D40-D41</f>
        <v>1642.0095999999994</v>
      </c>
      <c r="E42" s="208">
        <f t="shared" ref="E42:L42" si="17">E40-E41</f>
        <v>2565.6400000000003</v>
      </c>
      <c r="F42" s="208">
        <f t="shared" si="17"/>
        <v>3489.2703999999994</v>
      </c>
      <c r="G42" s="208">
        <f t="shared" si="17"/>
        <v>835.93215999999984</v>
      </c>
      <c r="H42" s="208">
        <f t="shared" si="17"/>
        <v>1306.1439999999998</v>
      </c>
      <c r="I42" s="208">
        <f t="shared" si="17"/>
        <v>1776.3558399999997</v>
      </c>
      <c r="J42" s="208">
        <f t="shared" si="17"/>
        <v>1373.3171199999997</v>
      </c>
      <c r="K42" s="208">
        <f t="shared" si="17"/>
        <v>2145.808</v>
      </c>
      <c r="L42" s="208">
        <f t="shared" si="17"/>
        <v>2918.2988800000003</v>
      </c>
      <c r="Z42" s="186"/>
      <c r="AA42" s="187"/>
      <c r="AB42" s="187"/>
      <c r="AC42" s="187"/>
      <c r="AD42" s="187"/>
      <c r="AE42" s="187"/>
      <c r="AF42" s="187"/>
      <c r="AG42" s="187"/>
      <c r="AH42" s="187"/>
      <c r="AI42" s="187"/>
      <c r="AJ42" s="187"/>
      <c r="AK42" s="187"/>
      <c r="AL42" s="187"/>
      <c r="AM42" s="187"/>
      <c r="AN42" s="187"/>
      <c r="AO42" s="188"/>
      <c r="AR42" s="186"/>
      <c r="AS42" s="187"/>
      <c r="AT42" s="187"/>
      <c r="AU42" s="187"/>
      <c r="AV42" s="187"/>
      <c r="AW42" s="187"/>
      <c r="AX42" s="187"/>
      <c r="AY42" s="187"/>
      <c r="AZ42" s="187"/>
      <c r="BA42" s="187"/>
      <c r="BB42" s="187"/>
      <c r="BC42" s="187"/>
      <c r="BD42" s="187"/>
      <c r="BE42" s="187"/>
      <c r="BF42" s="188"/>
      <c r="BI42" s="186"/>
      <c r="BJ42" s="187"/>
      <c r="BK42" s="187"/>
      <c r="BL42" s="346" t="s">
        <v>300</v>
      </c>
      <c r="BM42" s="346"/>
      <c r="BN42" s="346"/>
      <c r="BO42" s="346"/>
      <c r="BP42" s="346"/>
      <c r="BQ42" s="346"/>
      <c r="BR42" s="346"/>
      <c r="BS42" s="346"/>
      <c r="BT42" s="346"/>
      <c r="BU42" s="187"/>
      <c r="BV42" s="187"/>
      <c r="BW42" s="188"/>
    </row>
    <row r="43" spans="2:75" ht="16.5" thickTop="1" thickBot="1">
      <c r="C43" s="182" t="s">
        <v>301</v>
      </c>
      <c r="D43" s="209">
        <f>D42/D40</f>
        <v>0.18181818181818174</v>
      </c>
      <c r="E43" s="209">
        <f t="shared" ref="E43:L43" si="18">E42/E40</f>
        <v>0.28409090909090906</v>
      </c>
      <c r="F43" s="209">
        <f t="shared" si="18"/>
        <v>0.38636363636363624</v>
      </c>
      <c r="G43" s="209">
        <f t="shared" si="18"/>
        <v>0.18181818181818177</v>
      </c>
      <c r="H43" s="209">
        <f t="shared" si="18"/>
        <v>0.28409090909090901</v>
      </c>
      <c r="I43" s="209">
        <f t="shared" si="18"/>
        <v>0.38636363636363624</v>
      </c>
      <c r="J43" s="209">
        <f t="shared" si="18"/>
        <v>0.18181818181818177</v>
      </c>
      <c r="K43" s="209">
        <f t="shared" si="18"/>
        <v>0.28409090909090906</v>
      </c>
      <c r="L43" s="209">
        <f t="shared" si="18"/>
        <v>0.38636363636363641</v>
      </c>
      <c r="Z43" s="186"/>
      <c r="AA43" s="187"/>
      <c r="AB43" s="187"/>
      <c r="AC43" s="187"/>
      <c r="AD43" s="187"/>
      <c r="AE43" s="187"/>
      <c r="AF43" s="187"/>
      <c r="AG43" s="187"/>
      <c r="AH43" s="187"/>
      <c r="AI43" s="187"/>
      <c r="AJ43" s="187"/>
      <c r="AK43" s="187"/>
      <c r="AL43" s="187"/>
      <c r="AM43" s="187"/>
      <c r="AN43" s="187"/>
      <c r="AO43" s="188"/>
      <c r="AR43" s="186"/>
      <c r="AS43" s="187"/>
      <c r="AT43" s="187"/>
      <c r="AU43" s="187"/>
      <c r="AV43" s="187"/>
      <c r="AW43" s="187"/>
      <c r="AX43" s="187"/>
      <c r="AY43" s="187"/>
      <c r="AZ43" s="187"/>
      <c r="BA43" s="187"/>
      <c r="BB43" s="187"/>
      <c r="BC43" s="187"/>
      <c r="BD43" s="187"/>
      <c r="BE43" s="187"/>
      <c r="BF43" s="188"/>
      <c r="BI43" s="186"/>
      <c r="BJ43" s="187"/>
      <c r="BK43" s="187"/>
      <c r="BL43" s="346"/>
      <c r="BM43" s="346"/>
      <c r="BN43" s="346"/>
      <c r="BO43" s="346"/>
      <c r="BP43" s="346"/>
      <c r="BQ43" s="346"/>
      <c r="BR43" s="346"/>
      <c r="BS43" s="346"/>
      <c r="BT43" s="346"/>
      <c r="BU43" s="187"/>
      <c r="BV43" s="187"/>
      <c r="BW43" s="188"/>
    </row>
    <row r="44" spans="2:75" ht="16.5" thickTop="1" thickBot="1">
      <c r="C44" s="206" t="s">
        <v>288</v>
      </c>
      <c r="D44" s="207"/>
      <c r="E44" s="207"/>
      <c r="F44" s="207"/>
      <c r="G44" s="207"/>
      <c r="H44" s="207"/>
      <c r="I44" s="207"/>
      <c r="J44" s="207"/>
      <c r="K44" s="207"/>
      <c r="L44" s="207"/>
      <c r="Z44" s="186"/>
      <c r="AA44" s="187"/>
      <c r="AB44" s="187"/>
      <c r="AC44" s="187"/>
      <c r="AD44" s="187"/>
      <c r="AE44" s="187"/>
      <c r="AF44" s="187"/>
      <c r="AG44" s="187"/>
      <c r="AH44" s="187"/>
      <c r="AI44" s="187"/>
      <c r="AJ44" s="187"/>
      <c r="AK44" s="187"/>
      <c r="AL44" s="187"/>
      <c r="AM44" s="187"/>
      <c r="AN44" s="187"/>
      <c r="AO44" s="188"/>
      <c r="AR44" s="186"/>
      <c r="AS44" s="187"/>
      <c r="AT44" s="187"/>
      <c r="AU44" s="187"/>
      <c r="AV44" s="187"/>
      <c r="AW44" s="187"/>
      <c r="AX44" s="187"/>
      <c r="AY44" s="187"/>
      <c r="AZ44" s="187"/>
      <c r="BA44" s="187"/>
      <c r="BB44" s="187"/>
      <c r="BC44" s="187"/>
      <c r="BD44" s="187"/>
      <c r="BE44" s="187"/>
      <c r="BF44" s="188"/>
      <c r="BI44" s="186"/>
      <c r="BJ44" s="187"/>
      <c r="BK44" s="187"/>
      <c r="BL44" s="346"/>
      <c r="BM44" s="346"/>
      <c r="BN44" s="346"/>
      <c r="BO44" s="346"/>
      <c r="BP44" s="346"/>
      <c r="BQ44" s="346"/>
      <c r="BR44" s="346"/>
      <c r="BS44" s="346"/>
      <c r="BT44" s="346"/>
      <c r="BU44" s="187"/>
      <c r="BV44" s="187"/>
      <c r="BW44" s="188"/>
    </row>
    <row r="45" spans="2:75" ht="14.25" thickTop="1" thickBot="1">
      <c r="C45" s="189" t="s">
        <v>266</v>
      </c>
      <c r="D45" s="196">
        <f>D23</f>
        <v>138.44603942400002</v>
      </c>
      <c r="E45" s="196">
        <f t="shared" ref="E45:L45" si="19">E23</f>
        <v>138.44603942400002</v>
      </c>
      <c r="F45" s="196">
        <f t="shared" si="19"/>
        <v>138.44603942400002</v>
      </c>
      <c r="G45" s="196">
        <f t="shared" si="19"/>
        <v>70.481620070400012</v>
      </c>
      <c r="H45" s="196">
        <f t="shared" si="19"/>
        <v>70.481620070400012</v>
      </c>
      <c r="I45" s="196">
        <f t="shared" si="19"/>
        <v>70.481620070400012</v>
      </c>
      <c r="J45" s="196">
        <f t="shared" si="19"/>
        <v>115.7912329728</v>
      </c>
      <c r="K45" s="196">
        <f t="shared" si="19"/>
        <v>115.7912329728</v>
      </c>
      <c r="L45" s="196">
        <f t="shared" si="19"/>
        <v>115.7912329728</v>
      </c>
      <c r="Z45" s="186"/>
      <c r="AA45" s="187"/>
      <c r="AB45" s="187"/>
      <c r="AC45" s="187"/>
      <c r="AD45" s="187"/>
      <c r="AE45" s="187"/>
      <c r="AF45" s="187"/>
      <c r="AG45" s="187"/>
      <c r="AH45" s="187"/>
      <c r="AI45" s="187"/>
      <c r="AJ45" s="187"/>
      <c r="AK45" s="187"/>
      <c r="AL45" s="187"/>
      <c r="AM45" s="187"/>
      <c r="AN45" s="187"/>
      <c r="AO45" s="188"/>
      <c r="AR45" s="186"/>
      <c r="AS45" s="187"/>
      <c r="AT45" s="187"/>
      <c r="AU45" s="187"/>
      <c r="AV45" s="187"/>
      <c r="AW45" s="187"/>
      <c r="AX45" s="187"/>
      <c r="AY45" s="187"/>
      <c r="AZ45" s="187"/>
      <c r="BA45" s="187"/>
      <c r="BB45" s="187"/>
      <c r="BC45" s="187"/>
      <c r="BD45" s="187"/>
      <c r="BE45" s="187"/>
      <c r="BF45" s="188"/>
      <c r="BI45" s="186"/>
      <c r="BJ45" s="187"/>
      <c r="BK45" s="187"/>
      <c r="BL45" s="346"/>
      <c r="BM45" s="346"/>
      <c r="BN45" s="346"/>
      <c r="BO45" s="346"/>
      <c r="BP45" s="346"/>
      <c r="BQ45" s="346"/>
      <c r="BR45" s="346"/>
      <c r="BS45" s="346"/>
      <c r="BT45" s="346"/>
      <c r="BU45" s="187"/>
      <c r="BV45" s="187"/>
      <c r="BW45" s="188"/>
    </row>
    <row r="46" spans="2:75" ht="14.25" customHeight="1" thickTop="1" thickBot="1">
      <c r="C46" s="189" t="s">
        <v>267</v>
      </c>
      <c r="D46" s="196">
        <f t="shared" ref="D46:L46" si="20">O23</f>
        <v>113.27403225600004</v>
      </c>
      <c r="E46" s="196">
        <f t="shared" si="20"/>
        <v>99.114778224000005</v>
      </c>
      <c r="F46" s="196">
        <f t="shared" si="20"/>
        <v>84.955524192000027</v>
      </c>
      <c r="G46" s="196">
        <f t="shared" si="20"/>
        <v>57.666780057600015</v>
      </c>
      <c r="H46" s="196">
        <f t="shared" si="20"/>
        <v>50.458432550400012</v>
      </c>
      <c r="I46" s="196">
        <f t="shared" si="20"/>
        <v>43.250085043200016</v>
      </c>
      <c r="J46" s="196">
        <f t="shared" si="20"/>
        <v>94.738281523200015</v>
      </c>
      <c r="K46" s="196">
        <f t="shared" si="20"/>
        <v>82.895996332799996</v>
      </c>
      <c r="L46" s="196">
        <f t="shared" si="20"/>
        <v>71.053711142400005</v>
      </c>
      <c r="Z46" s="186"/>
      <c r="AA46" s="187"/>
      <c r="AB46" s="187"/>
      <c r="AC46" s="343" t="s">
        <v>302</v>
      </c>
      <c r="AD46" s="343"/>
      <c r="AE46" s="343"/>
      <c r="AF46" s="343"/>
      <c r="AG46" s="343"/>
      <c r="AH46" s="343"/>
      <c r="AI46" s="343"/>
      <c r="AJ46" s="343"/>
      <c r="AK46" s="343"/>
      <c r="AL46" s="187"/>
      <c r="AM46" s="187"/>
      <c r="AN46" s="187"/>
      <c r="AO46" s="188"/>
      <c r="AR46" s="186"/>
      <c r="AS46" s="187"/>
      <c r="AT46" s="187"/>
      <c r="AU46" s="187"/>
      <c r="AV46" s="187"/>
      <c r="AW46" s="187"/>
      <c r="AX46" s="187"/>
      <c r="AY46" s="187"/>
      <c r="AZ46" s="187"/>
      <c r="BA46" s="187"/>
      <c r="BB46" s="187"/>
      <c r="BC46" s="187"/>
      <c r="BD46" s="187"/>
      <c r="BE46" s="187"/>
      <c r="BF46" s="188"/>
      <c r="BI46" s="186"/>
      <c r="BJ46" s="187"/>
      <c r="BK46" s="187"/>
      <c r="BL46" s="346"/>
      <c r="BM46" s="346"/>
      <c r="BN46" s="346"/>
      <c r="BO46" s="346"/>
      <c r="BP46" s="346"/>
      <c r="BQ46" s="346"/>
      <c r="BR46" s="346"/>
      <c r="BS46" s="346"/>
      <c r="BT46" s="346"/>
      <c r="BU46" s="187"/>
      <c r="BV46" s="187"/>
      <c r="BW46" s="188"/>
    </row>
    <row r="47" spans="2:75" ht="16.5" thickTop="1" thickBot="1">
      <c r="C47" s="182" t="s">
        <v>202</v>
      </c>
      <c r="D47" s="210">
        <f>D45-D46</f>
        <v>25.172007167999979</v>
      </c>
      <c r="E47" s="210">
        <f t="shared" ref="E47:L47" si="21">E45-E46</f>
        <v>39.331261200000014</v>
      </c>
      <c r="F47" s="210">
        <f t="shared" si="21"/>
        <v>53.490515231999993</v>
      </c>
      <c r="G47" s="210">
        <f t="shared" si="21"/>
        <v>12.814840012799998</v>
      </c>
      <c r="H47" s="210">
        <f t="shared" si="21"/>
        <v>20.02318752</v>
      </c>
      <c r="I47" s="210">
        <f t="shared" si="21"/>
        <v>27.231535027199996</v>
      </c>
      <c r="J47" s="210">
        <f t="shared" si="21"/>
        <v>21.052951449599988</v>
      </c>
      <c r="K47" s="210">
        <f t="shared" si="21"/>
        <v>32.895236640000007</v>
      </c>
      <c r="L47" s="210">
        <f t="shared" si="21"/>
        <v>44.737521830399999</v>
      </c>
      <c r="Z47" s="186"/>
      <c r="AA47" s="187"/>
      <c r="AB47" s="187"/>
      <c r="AC47" s="343"/>
      <c r="AD47" s="343"/>
      <c r="AE47" s="343"/>
      <c r="AF47" s="343"/>
      <c r="AG47" s="343"/>
      <c r="AH47" s="343"/>
      <c r="AI47" s="343"/>
      <c r="AJ47" s="343"/>
      <c r="AK47" s="343"/>
      <c r="AL47" s="187"/>
      <c r="AM47" s="187"/>
      <c r="AN47" s="187"/>
      <c r="AO47" s="188"/>
      <c r="AR47" s="186"/>
      <c r="AS47" s="187"/>
      <c r="AT47" s="187"/>
      <c r="AU47" s="187"/>
      <c r="AV47" s="187"/>
      <c r="AW47" s="187"/>
      <c r="AX47" s="187"/>
      <c r="AY47" s="187"/>
      <c r="AZ47" s="187"/>
      <c r="BA47" s="187"/>
      <c r="BB47" s="187"/>
      <c r="BC47" s="187"/>
      <c r="BD47" s="187"/>
      <c r="BE47" s="187"/>
      <c r="BF47" s="188"/>
      <c r="BI47" s="186"/>
      <c r="BJ47" s="187"/>
      <c r="BK47" s="187"/>
      <c r="BL47" s="346"/>
      <c r="BM47" s="346"/>
      <c r="BN47" s="346"/>
      <c r="BO47" s="346"/>
      <c r="BP47" s="346"/>
      <c r="BQ47" s="346"/>
      <c r="BR47" s="346"/>
      <c r="BS47" s="346"/>
      <c r="BT47" s="346"/>
      <c r="BU47" s="187"/>
      <c r="BV47" s="187"/>
      <c r="BW47" s="188"/>
    </row>
    <row r="48" spans="2:75" ht="16.5" thickTop="1" thickBot="1">
      <c r="C48" s="182" t="s">
        <v>301</v>
      </c>
      <c r="D48" s="209">
        <f>D47/D45</f>
        <v>0.18181818181818163</v>
      </c>
      <c r="E48" s="209">
        <f t="shared" ref="E48:L48" si="22">E47/E45</f>
        <v>0.28409090909090917</v>
      </c>
      <c r="F48" s="209">
        <f t="shared" si="22"/>
        <v>0.38636363636363624</v>
      </c>
      <c r="G48" s="209">
        <f t="shared" si="22"/>
        <v>0.18181818181818177</v>
      </c>
      <c r="H48" s="209">
        <f t="shared" si="22"/>
        <v>0.28409090909090906</v>
      </c>
      <c r="I48" s="209">
        <f t="shared" si="22"/>
        <v>0.38636363636363624</v>
      </c>
      <c r="J48" s="209">
        <f t="shared" si="22"/>
        <v>0.18181818181818171</v>
      </c>
      <c r="K48" s="209">
        <f t="shared" si="22"/>
        <v>0.28409090909090917</v>
      </c>
      <c r="L48" s="209">
        <f t="shared" si="22"/>
        <v>0.38636363636363635</v>
      </c>
      <c r="Z48" s="186"/>
      <c r="AA48" s="187"/>
      <c r="AB48" s="187"/>
      <c r="AC48" s="343"/>
      <c r="AD48" s="343"/>
      <c r="AE48" s="343"/>
      <c r="AF48" s="343"/>
      <c r="AG48" s="343"/>
      <c r="AH48" s="343"/>
      <c r="AI48" s="343"/>
      <c r="AJ48" s="343"/>
      <c r="AK48" s="343"/>
      <c r="AL48" s="187"/>
      <c r="AM48" s="187"/>
      <c r="AN48" s="187"/>
      <c r="AO48" s="188"/>
      <c r="AR48" s="186"/>
      <c r="AS48" s="187"/>
      <c r="AT48" s="187"/>
      <c r="AU48" s="187"/>
      <c r="AV48" s="187"/>
      <c r="AW48" s="187"/>
      <c r="AX48" s="187"/>
      <c r="AY48" s="187"/>
      <c r="AZ48" s="187"/>
      <c r="BA48" s="187"/>
      <c r="BB48" s="187"/>
      <c r="BC48" s="187"/>
      <c r="BD48" s="187"/>
      <c r="BE48" s="187"/>
      <c r="BF48" s="188"/>
      <c r="BI48" s="186"/>
      <c r="BJ48" s="187"/>
      <c r="BK48" s="187"/>
      <c r="BL48" s="187"/>
      <c r="BM48" s="187"/>
      <c r="BN48" s="187"/>
      <c r="BO48" s="187"/>
      <c r="BP48" s="187"/>
      <c r="BQ48" s="187"/>
      <c r="BR48" s="187"/>
      <c r="BS48" s="187"/>
      <c r="BT48" s="187"/>
      <c r="BU48" s="187"/>
      <c r="BV48" s="187"/>
      <c r="BW48" s="188"/>
    </row>
    <row r="49" spans="3:75" ht="16.5" thickTop="1" thickBot="1">
      <c r="C49" s="206" t="s">
        <v>303</v>
      </c>
      <c r="D49" s="207"/>
      <c r="E49" s="207"/>
      <c r="F49" s="207"/>
      <c r="G49" s="207"/>
      <c r="H49" s="207"/>
      <c r="I49" s="207"/>
      <c r="J49" s="207"/>
      <c r="K49" s="207"/>
      <c r="L49" s="207"/>
      <c r="Z49" s="186"/>
      <c r="AA49" s="187"/>
      <c r="AB49" s="187"/>
      <c r="AC49" s="343"/>
      <c r="AD49" s="343"/>
      <c r="AE49" s="343"/>
      <c r="AF49" s="343"/>
      <c r="AG49" s="343"/>
      <c r="AH49" s="343"/>
      <c r="AI49" s="343"/>
      <c r="AJ49" s="343"/>
      <c r="AK49" s="343"/>
      <c r="AL49" s="187"/>
      <c r="AM49" s="187"/>
      <c r="AN49" s="187"/>
      <c r="AO49" s="188"/>
      <c r="AR49" s="186"/>
      <c r="AS49" s="187"/>
      <c r="AT49" s="187"/>
      <c r="AU49" s="187"/>
      <c r="AV49" s="187"/>
      <c r="AW49" s="187"/>
      <c r="AX49" s="187"/>
      <c r="AY49" s="187"/>
      <c r="AZ49" s="187"/>
      <c r="BA49" s="187"/>
      <c r="BB49" s="187"/>
      <c r="BC49" s="187"/>
      <c r="BD49" s="187"/>
      <c r="BE49" s="187"/>
      <c r="BF49" s="188"/>
      <c r="BI49" s="202"/>
      <c r="BJ49" s="203"/>
      <c r="BK49" s="203"/>
      <c r="BL49" s="203"/>
      <c r="BM49" s="203"/>
      <c r="BN49" s="203"/>
      <c r="BO49" s="203"/>
      <c r="BP49" s="203"/>
      <c r="BQ49" s="203"/>
      <c r="BR49" s="203"/>
      <c r="BS49" s="203"/>
      <c r="BT49" s="203"/>
      <c r="BU49" s="203"/>
      <c r="BV49" s="203"/>
      <c r="BW49" s="204"/>
    </row>
    <row r="50" spans="3:75" ht="14.25" thickTop="1" thickBot="1">
      <c r="C50" s="189" t="s">
        <v>266</v>
      </c>
      <c r="D50" s="191">
        <f>D25</f>
        <v>6601.699596800001</v>
      </c>
      <c r="E50" s="191">
        <f t="shared" ref="E50:L50" si="23">E25</f>
        <v>6601.699596800001</v>
      </c>
      <c r="F50" s="191">
        <f t="shared" si="23"/>
        <v>6601.699596800001</v>
      </c>
      <c r="G50" s="191">
        <f t="shared" si="23"/>
        <v>3360.8652492800006</v>
      </c>
      <c r="H50" s="191">
        <f t="shared" si="23"/>
        <v>3360.8652492800006</v>
      </c>
      <c r="I50" s="191">
        <f t="shared" si="23"/>
        <v>3360.8652492800006</v>
      </c>
      <c r="J50" s="191">
        <f t="shared" si="23"/>
        <v>5521.4214809599998</v>
      </c>
      <c r="K50" s="191">
        <f t="shared" si="23"/>
        <v>5521.4214809599998</v>
      </c>
      <c r="L50" s="191">
        <f t="shared" si="23"/>
        <v>5521.4214809599998</v>
      </c>
      <c r="Z50" s="186"/>
      <c r="AA50" s="187"/>
      <c r="AB50" s="187"/>
      <c r="AC50" s="343"/>
      <c r="AD50" s="343"/>
      <c r="AE50" s="343"/>
      <c r="AF50" s="343"/>
      <c r="AG50" s="343"/>
      <c r="AH50" s="343"/>
      <c r="AI50" s="343"/>
      <c r="AJ50" s="343"/>
      <c r="AK50" s="343"/>
      <c r="AL50" s="187"/>
      <c r="AM50" s="187"/>
      <c r="AN50" s="187"/>
      <c r="AO50" s="188"/>
      <c r="AR50" s="186"/>
      <c r="AS50" s="187"/>
      <c r="AT50" s="187"/>
      <c r="AU50" s="187"/>
      <c r="AV50" s="187"/>
      <c r="AW50" s="187"/>
      <c r="AX50" s="187"/>
      <c r="AY50" s="187"/>
      <c r="AZ50" s="187"/>
      <c r="BA50" s="187"/>
      <c r="BB50" s="187"/>
      <c r="BC50" s="187"/>
      <c r="BD50" s="187"/>
      <c r="BE50" s="187"/>
      <c r="BF50" s="188"/>
    </row>
    <row r="51" spans="3:75" ht="14.25" thickTop="1" thickBot="1">
      <c r="C51" s="189" t="s">
        <v>267</v>
      </c>
      <c r="D51" s="191">
        <f t="shared" ref="D51:L51" si="24">O25</f>
        <v>5578.727616000001</v>
      </c>
      <c r="E51" s="191">
        <f t="shared" si="24"/>
        <v>4968.6697368000014</v>
      </c>
      <c r="F51" s="191">
        <f t="shared" si="24"/>
        <v>4333.6738368000015</v>
      </c>
      <c r="G51" s="191">
        <f t="shared" si="24"/>
        <v>2840.0795136000006</v>
      </c>
      <c r="H51" s="191">
        <f t="shared" si="24"/>
        <v>2529.5045932800008</v>
      </c>
      <c r="I51" s="191">
        <f t="shared" si="24"/>
        <v>2206.2339532800011</v>
      </c>
      <c r="J51" s="191">
        <f t="shared" si="24"/>
        <v>4665.8449152000003</v>
      </c>
      <c r="K51" s="191">
        <f t="shared" si="24"/>
        <v>4155.6146889600004</v>
      </c>
      <c r="L51" s="191">
        <f t="shared" si="24"/>
        <v>3624.5272089600003</v>
      </c>
      <c r="Z51" s="186"/>
      <c r="AA51" s="187"/>
      <c r="AB51" s="187"/>
      <c r="AC51" s="187"/>
      <c r="AD51" s="187"/>
      <c r="AE51" s="187"/>
      <c r="AF51" s="187"/>
      <c r="AG51" s="187"/>
      <c r="AH51" s="187"/>
      <c r="AI51" s="187"/>
      <c r="AJ51" s="187"/>
      <c r="AK51" s="187"/>
      <c r="AL51" s="187"/>
      <c r="AM51" s="187"/>
      <c r="AN51" s="187"/>
      <c r="AO51" s="188"/>
      <c r="AR51" s="186"/>
      <c r="AS51" s="187"/>
      <c r="AT51" s="187"/>
      <c r="AU51" s="187"/>
      <c r="AV51" s="187"/>
      <c r="AW51" s="187"/>
      <c r="AX51" s="187"/>
      <c r="AY51" s="187"/>
      <c r="AZ51" s="187"/>
      <c r="BA51" s="187"/>
      <c r="BB51" s="187"/>
      <c r="BC51" s="187"/>
      <c r="BD51" s="187"/>
      <c r="BE51" s="187"/>
      <c r="BF51" s="188"/>
    </row>
    <row r="52" spans="3:75" ht="16.5" thickTop="1" thickBot="1">
      <c r="C52" s="182" t="s">
        <v>202</v>
      </c>
      <c r="D52" s="208">
        <f>D50-D51</f>
        <v>1022.9719808</v>
      </c>
      <c r="E52" s="208">
        <f t="shared" ref="E52:L52" si="25">E50-E51</f>
        <v>1633.0298599999996</v>
      </c>
      <c r="F52" s="208">
        <f t="shared" si="25"/>
        <v>2268.0257599999995</v>
      </c>
      <c r="G52" s="208">
        <f t="shared" si="25"/>
        <v>520.78573568000002</v>
      </c>
      <c r="H52" s="208">
        <f t="shared" si="25"/>
        <v>831.36065599999984</v>
      </c>
      <c r="I52" s="208">
        <f t="shared" si="25"/>
        <v>1154.6312959999996</v>
      </c>
      <c r="J52" s="208">
        <f t="shared" si="25"/>
        <v>855.57656575999954</v>
      </c>
      <c r="K52" s="208">
        <f t="shared" si="25"/>
        <v>1365.8067919999994</v>
      </c>
      <c r="L52" s="208">
        <f t="shared" si="25"/>
        <v>1896.8942719999995</v>
      </c>
      <c r="Z52" s="186"/>
      <c r="AA52" s="187"/>
      <c r="AB52" s="187"/>
      <c r="AC52" s="187"/>
      <c r="AD52" s="187"/>
      <c r="AE52" s="187"/>
      <c r="AF52" s="187"/>
      <c r="AG52" s="187"/>
      <c r="AH52" s="187"/>
      <c r="AI52" s="187"/>
      <c r="AJ52" s="187"/>
      <c r="AK52" s="187"/>
      <c r="AL52" s="187"/>
      <c r="AM52" s="187"/>
      <c r="AN52" s="187"/>
      <c r="AO52" s="188"/>
      <c r="AR52" s="186"/>
      <c r="AS52" s="187"/>
      <c r="AT52" s="187"/>
      <c r="AU52" s="187"/>
      <c r="AV52" s="187"/>
      <c r="AW52" s="187"/>
      <c r="AX52" s="187"/>
      <c r="AY52" s="187"/>
      <c r="AZ52" s="187"/>
      <c r="BA52" s="187"/>
      <c r="BB52" s="187"/>
      <c r="BC52" s="187"/>
      <c r="BD52" s="187"/>
      <c r="BE52" s="187"/>
      <c r="BF52" s="188"/>
    </row>
    <row r="53" spans="3:75" ht="16.5" thickTop="1" thickBot="1">
      <c r="C53" s="182" t="s">
        <v>301</v>
      </c>
      <c r="D53" s="211">
        <f>D52/D50</f>
        <v>0.15495585126228079</v>
      </c>
      <c r="E53" s="211">
        <f t="shared" ref="E53:L53" si="26">E52/E50</f>
        <v>0.24736506653401308</v>
      </c>
      <c r="F53" s="211">
        <f t="shared" si="26"/>
        <v>0.34355179704016903</v>
      </c>
      <c r="G53" s="211">
        <f t="shared" si="26"/>
        <v>0.15495585126228079</v>
      </c>
      <c r="H53" s="211">
        <f t="shared" si="26"/>
        <v>0.24736506653401308</v>
      </c>
      <c r="I53" s="211">
        <f t="shared" si="26"/>
        <v>0.34355179704016892</v>
      </c>
      <c r="J53" s="211">
        <f t="shared" si="26"/>
        <v>0.15495585126228073</v>
      </c>
      <c r="K53" s="211">
        <f t="shared" si="26"/>
        <v>0.24736506653401308</v>
      </c>
      <c r="L53" s="211">
        <f t="shared" si="26"/>
        <v>0.34355179704016908</v>
      </c>
      <c r="Z53" s="186"/>
      <c r="AA53" s="187"/>
      <c r="AB53" s="187"/>
      <c r="AC53" s="187"/>
      <c r="AD53" s="187"/>
      <c r="AE53" s="187"/>
      <c r="AF53" s="187"/>
      <c r="AG53" s="187"/>
      <c r="AH53" s="187"/>
      <c r="AI53" s="187"/>
      <c r="AJ53" s="187"/>
      <c r="AK53" s="187"/>
      <c r="AL53" s="187"/>
      <c r="AM53" s="187"/>
      <c r="AN53" s="187"/>
      <c r="AO53" s="188"/>
      <c r="AR53" s="186"/>
      <c r="AS53" s="187"/>
      <c r="AT53" s="187"/>
      <c r="AU53" s="187"/>
      <c r="AV53" s="187"/>
      <c r="AW53" s="187"/>
      <c r="AX53" s="187"/>
      <c r="AY53" s="187"/>
      <c r="AZ53" s="187"/>
      <c r="BA53" s="187"/>
      <c r="BB53" s="187"/>
      <c r="BC53" s="187"/>
      <c r="BD53" s="187"/>
      <c r="BE53" s="187"/>
      <c r="BF53" s="188"/>
    </row>
    <row r="54" spans="3:75" ht="16.5" thickTop="1" thickBot="1">
      <c r="C54" s="206" t="s">
        <v>304</v>
      </c>
      <c r="D54" s="207"/>
      <c r="E54" s="207"/>
      <c r="F54" s="207"/>
      <c r="G54" s="207"/>
      <c r="H54" s="207"/>
      <c r="I54" s="207"/>
      <c r="J54" s="207"/>
      <c r="K54" s="207"/>
      <c r="L54" s="207"/>
      <c r="Z54" s="186"/>
      <c r="AA54" s="187"/>
      <c r="AB54" s="187"/>
      <c r="AC54" s="187"/>
      <c r="AD54" s="187"/>
      <c r="AE54" s="187"/>
      <c r="AF54" s="187"/>
      <c r="AG54" s="187"/>
      <c r="AH54" s="187"/>
      <c r="AI54" s="187"/>
      <c r="AJ54" s="187"/>
      <c r="AK54" s="187"/>
      <c r="AL54" s="187"/>
      <c r="AM54" s="187"/>
      <c r="AN54" s="187"/>
      <c r="AO54" s="188"/>
      <c r="AR54" s="186"/>
      <c r="AS54" s="187"/>
      <c r="AT54" s="187"/>
      <c r="AU54" s="187"/>
      <c r="AV54" s="187"/>
      <c r="AW54" s="187"/>
      <c r="AX54" s="187"/>
      <c r="AY54" s="187"/>
      <c r="AZ54" s="187"/>
      <c r="BA54" s="187"/>
      <c r="BB54" s="187"/>
      <c r="BC54" s="187"/>
      <c r="BD54" s="187"/>
      <c r="BE54" s="187"/>
      <c r="BF54" s="188"/>
    </row>
    <row r="55" spans="3:75" ht="14.25" thickTop="1" thickBot="1">
      <c r="C55" s="189" t="s">
        <v>266</v>
      </c>
      <c r="D55" s="191">
        <f>D26</f>
        <v>495127.46976000007</v>
      </c>
      <c r="E55" s="191">
        <f t="shared" ref="E55:L55" si="27">E26</f>
        <v>495127.46976000007</v>
      </c>
      <c r="F55" s="191">
        <f t="shared" si="27"/>
        <v>495127.46976000007</v>
      </c>
      <c r="G55" s="191">
        <f t="shared" si="27"/>
        <v>252064.89369600004</v>
      </c>
      <c r="H55" s="191">
        <f t="shared" si="27"/>
        <v>252064.89369600004</v>
      </c>
      <c r="I55" s="191">
        <f t="shared" si="27"/>
        <v>252064.89369600004</v>
      </c>
      <c r="J55" s="191">
        <f t="shared" si="27"/>
        <v>414106.611072</v>
      </c>
      <c r="K55" s="191">
        <f t="shared" si="27"/>
        <v>414106.611072</v>
      </c>
      <c r="L55" s="191">
        <f t="shared" si="27"/>
        <v>414106.611072</v>
      </c>
      <c r="Z55" s="186"/>
      <c r="AA55" s="187"/>
      <c r="AB55" s="187"/>
      <c r="AC55" s="187"/>
      <c r="AD55" s="187"/>
      <c r="AE55" s="187"/>
      <c r="AF55" s="187"/>
      <c r="AG55" s="187"/>
      <c r="AH55" s="187"/>
      <c r="AI55" s="187"/>
      <c r="AJ55" s="187"/>
      <c r="AK55" s="187"/>
      <c r="AL55" s="187"/>
      <c r="AM55" s="187"/>
      <c r="AN55" s="187"/>
      <c r="AO55" s="188"/>
      <c r="AR55" s="186"/>
      <c r="AS55" s="187"/>
      <c r="AT55" s="187"/>
      <c r="AU55" s="187"/>
      <c r="AV55" s="187"/>
      <c r="AW55" s="187"/>
      <c r="AX55" s="187"/>
      <c r="AY55" s="187"/>
      <c r="AZ55" s="187"/>
      <c r="BA55" s="187"/>
      <c r="BB55" s="187"/>
      <c r="BC55" s="187"/>
      <c r="BD55" s="187"/>
      <c r="BE55" s="187"/>
      <c r="BF55" s="188"/>
    </row>
    <row r="56" spans="3:75" ht="14.25" thickTop="1" thickBot="1">
      <c r="C56" s="189" t="s">
        <v>267</v>
      </c>
      <c r="D56" s="191">
        <f t="shared" ref="D56:L56" si="28">O26</f>
        <v>418404.57120000006</v>
      </c>
      <c r="E56" s="191">
        <f t="shared" si="28"/>
        <v>372650.2302600001</v>
      </c>
      <c r="F56" s="191">
        <f t="shared" si="28"/>
        <v>325025.53776000009</v>
      </c>
      <c r="G56" s="191">
        <f t="shared" si="28"/>
        <v>213005.96352000005</v>
      </c>
      <c r="H56" s="191">
        <f t="shared" si="28"/>
        <v>189712.84449600006</v>
      </c>
      <c r="I56" s="191">
        <f t="shared" si="28"/>
        <v>165467.54649600008</v>
      </c>
      <c r="J56" s="191">
        <f t="shared" si="28"/>
        <v>349938.36864</v>
      </c>
      <c r="K56" s="191">
        <f t="shared" si="28"/>
        <v>311671.10167200002</v>
      </c>
      <c r="L56" s="191">
        <f t="shared" si="28"/>
        <v>271839.54067200003</v>
      </c>
      <c r="Z56" s="186"/>
      <c r="AA56" s="187"/>
      <c r="AB56" s="187"/>
      <c r="AC56" s="187"/>
      <c r="AD56" s="187"/>
      <c r="AE56" s="187"/>
      <c r="AF56" s="187"/>
      <c r="AG56" s="187"/>
      <c r="AH56" s="187"/>
      <c r="AI56" s="187"/>
      <c r="AJ56" s="187"/>
      <c r="AK56" s="187"/>
      <c r="AL56" s="187"/>
      <c r="AM56" s="187"/>
      <c r="AN56" s="187"/>
      <c r="AO56" s="188"/>
      <c r="AR56" s="186"/>
      <c r="AS56" s="187"/>
      <c r="AT56" s="187"/>
      <c r="AU56" s="187"/>
      <c r="AV56" s="187"/>
      <c r="AW56" s="187"/>
      <c r="AX56" s="187"/>
      <c r="AY56" s="187"/>
      <c r="AZ56" s="187"/>
      <c r="BA56" s="187"/>
      <c r="BB56" s="187"/>
      <c r="BC56" s="187"/>
      <c r="BD56" s="187"/>
      <c r="BE56" s="187"/>
      <c r="BF56" s="188"/>
    </row>
    <row r="57" spans="3:75" ht="16.5" thickTop="1" thickBot="1">
      <c r="C57" s="182" t="s">
        <v>202</v>
      </c>
      <c r="D57" s="208">
        <f>D55-D56</f>
        <v>76722.898560000001</v>
      </c>
      <c r="E57" s="208">
        <f t="shared" ref="E57:L57" si="29">E55-E56</f>
        <v>122477.23949999997</v>
      </c>
      <c r="F57" s="208">
        <f t="shared" si="29"/>
        <v>170101.93199999997</v>
      </c>
      <c r="G57" s="208">
        <f t="shared" si="29"/>
        <v>39058.930175999994</v>
      </c>
      <c r="H57" s="208">
        <f t="shared" si="29"/>
        <v>62352.049199999979</v>
      </c>
      <c r="I57" s="208">
        <f t="shared" si="29"/>
        <v>86597.34719999996</v>
      </c>
      <c r="J57" s="208">
        <f t="shared" si="29"/>
        <v>64168.242431999999</v>
      </c>
      <c r="K57" s="208">
        <f t="shared" si="29"/>
        <v>102435.50939999998</v>
      </c>
      <c r="L57" s="208">
        <f t="shared" si="29"/>
        <v>142267.07039999997</v>
      </c>
      <c r="Z57" s="186"/>
      <c r="AA57" s="187"/>
      <c r="AB57" s="187"/>
      <c r="AC57" s="187"/>
      <c r="AD57" s="187"/>
      <c r="AE57" s="187"/>
      <c r="AF57" s="187"/>
      <c r="AG57" s="187"/>
      <c r="AH57" s="187"/>
      <c r="AI57" s="187"/>
      <c r="AJ57" s="187"/>
      <c r="AK57" s="187"/>
      <c r="AL57" s="187"/>
      <c r="AM57" s="187"/>
      <c r="AN57" s="187"/>
      <c r="AO57" s="188"/>
      <c r="AR57" s="186"/>
      <c r="AS57" s="187"/>
      <c r="AT57" s="187"/>
      <c r="AU57" s="187"/>
      <c r="AV57" s="187"/>
      <c r="AW57" s="187"/>
      <c r="AX57" s="187"/>
      <c r="AY57" s="187"/>
      <c r="AZ57" s="187"/>
      <c r="BA57" s="187"/>
      <c r="BB57" s="187"/>
      <c r="BC57" s="187"/>
      <c r="BD57" s="187"/>
      <c r="BE57" s="187"/>
      <c r="BF57" s="188"/>
    </row>
    <row r="58" spans="3:75" ht="16.5" thickTop="1" thickBot="1">
      <c r="C58" s="182" t="s">
        <v>301</v>
      </c>
      <c r="D58" s="211">
        <f>D57/D55</f>
        <v>0.15495585126228079</v>
      </c>
      <c r="E58" s="211">
        <f t="shared" ref="E58:L58" si="30">E57/E55</f>
        <v>0.24736506653401308</v>
      </c>
      <c r="F58" s="211">
        <f t="shared" si="30"/>
        <v>0.34355179704016903</v>
      </c>
      <c r="G58" s="211">
        <f t="shared" si="30"/>
        <v>0.15495585126228076</v>
      </c>
      <c r="H58" s="211">
        <f t="shared" si="30"/>
        <v>0.24736506653401305</v>
      </c>
      <c r="I58" s="211">
        <f t="shared" si="30"/>
        <v>0.34355179704016892</v>
      </c>
      <c r="J58" s="211">
        <f t="shared" si="30"/>
        <v>0.15495585126228081</v>
      </c>
      <c r="K58" s="211">
        <f t="shared" si="30"/>
        <v>0.24736506653401313</v>
      </c>
      <c r="L58" s="211">
        <f t="shared" si="30"/>
        <v>0.34355179704016908</v>
      </c>
      <c r="Z58" s="186"/>
      <c r="AA58" s="187"/>
      <c r="AB58" s="187"/>
      <c r="AC58" s="187"/>
      <c r="AD58" s="187"/>
      <c r="AE58" s="187"/>
      <c r="AF58" s="187"/>
      <c r="AG58" s="187"/>
      <c r="AH58" s="187"/>
      <c r="AI58" s="187"/>
      <c r="AJ58" s="187"/>
      <c r="AK58" s="187"/>
      <c r="AL58" s="187"/>
      <c r="AM58" s="187"/>
      <c r="AN58" s="187"/>
      <c r="AO58" s="188"/>
      <c r="AR58" s="186"/>
      <c r="AS58" s="187"/>
      <c r="AT58" s="187"/>
      <c r="AU58" s="187"/>
      <c r="AV58" s="187"/>
      <c r="AW58" s="187"/>
      <c r="AX58" s="187"/>
      <c r="AY58" s="187"/>
      <c r="AZ58" s="187"/>
      <c r="BA58" s="187"/>
      <c r="BB58" s="187"/>
      <c r="BC58" s="187"/>
      <c r="BD58" s="187"/>
      <c r="BE58" s="187"/>
      <c r="BF58" s="188"/>
    </row>
    <row r="59" spans="3:75" ht="31.5" thickTop="1" thickBot="1">
      <c r="C59" s="206" t="s">
        <v>305</v>
      </c>
      <c r="D59" s="207"/>
      <c r="E59" s="207"/>
      <c r="F59" s="207"/>
      <c r="G59" s="207"/>
      <c r="H59" s="207"/>
      <c r="I59" s="207"/>
      <c r="J59" s="207"/>
      <c r="K59" s="207"/>
      <c r="L59" s="207"/>
      <c r="Z59" s="186"/>
      <c r="AA59" s="187"/>
      <c r="AB59" s="187"/>
      <c r="AC59" s="187"/>
      <c r="AD59" s="187"/>
      <c r="AE59" s="187"/>
      <c r="AF59" s="187"/>
      <c r="AG59" s="187"/>
      <c r="AH59" s="187"/>
      <c r="AI59" s="187"/>
      <c r="AJ59" s="187"/>
      <c r="AK59" s="187"/>
      <c r="AL59" s="187"/>
      <c r="AM59" s="187"/>
      <c r="AN59" s="187"/>
      <c r="AO59" s="188"/>
      <c r="AR59" s="186"/>
      <c r="AS59" s="187"/>
      <c r="AT59" s="187"/>
      <c r="AU59" s="187"/>
      <c r="AV59" s="187"/>
      <c r="AW59" s="187"/>
      <c r="AX59" s="187"/>
      <c r="AY59" s="187"/>
      <c r="AZ59" s="187"/>
      <c r="BA59" s="187"/>
      <c r="BB59" s="187"/>
      <c r="BC59" s="187"/>
      <c r="BD59" s="187"/>
      <c r="BE59" s="187"/>
      <c r="BF59" s="188"/>
    </row>
    <row r="60" spans="3:75" ht="14.25" thickTop="1" thickBot="1">
      <c r="C60" s="189" t="s">
        <v>266</v>
      </c>
      <c r="D60" s="191">
        <f>D28</f>
        <v>1234.5952935254402</v>
      </c>
      <c r="E60" s="191">
        <f t="shared" ref="E60:L60" si="31">E28</f>
        <v>1234.5952935254402</v>
      </c>
      <c r="F60" s="191">
        <f t="shared" si="31"/>
        <v>1234.5952935254402</v>
      </c>
      <c r="G60" s="191">
        <f t="shared" si="31"/>
        <v>628.52124034022415</v>
      </c>
      <c r="H60" s="191">
        <f t="shared" si="31"/>
        <v>628.52124034022415</v>
      </c>
      <c r="I60" s="191">
        <f t="shared" si="31"/>
        <v>628.52124034022415</v>
      </c>
      <c r="J60" s="191">
        <f t="shared" si="31"/>
        <v>1032.570609130368</v>
      </c>
      <c r="K60" s="191">
        <f t="shared" si="31"/>
        <v>1032.570609130368</v>
      </c>
      <c r="L60" s="191">
        <f t="shared" si="31"/>
        <v>1032.570609130368</v>
      </c>
      <c r="Z60" s="186"/>
      <c r="AA60" s="187"/>
      <c r="AB60" s="187"/>
      <c r="AC60" s="187"/>
      <c r="AD60" s="187"/>
      <c r="AE60" s="187"/>
      <c r="AF60" s="187"/>
      <c r="AG60" s="187"/>
      <c r="AH60" s="187"/>
      <c r="AI60" s="187"/>
      <c r="AJ60" s="187"/>
      <c r="AK60" s="187"/>
      <c r="AL60" s="187"/>
      <c r="AM60" s="187"/>
      <c r="AN60" s="187"/>
      <c r="AO60" s="188"/>
      <c r="AR60" s="186"/>
      <c r="AS60" s="187"/>
      <c r="AT60" s="187"/>
      <c r="AU60" s="187"/>
      <c r="AV60" s="187"/>
      <c r="AW60" s="187"/>
      <c r="AX60" s="187"/>
      <c r="AY60" s="187"/>
      <c r="AZ60" s="187"/>
      <c r="BA60" s="187"/>
      <c r="BB60" s="187"/>
      <c r="BC60" s="187"/>
      <c r="BD60" s="187"/>
      <c r="BE60" s="187"/>
      <c r="BF60" s="188"/>
    </row>
    <row r="61" spans="3:75" ht="14.25" thickTop="1" thickBot="1">
      <c r="C61" s="189" t="s">
        <v>267</v>
      </c>
      <c r="D61" s="191">
        <f t="shared" ref="D61:L61" si="32">O28</f>
        <v>1043.2875288528003</v>
      </c>
      <c r="E61" s="191">
        <f t="shared" si="32"/>
        <v>929.19954659994028</v>
      </c>
      <c r="F61" s="191">
        <f t="shared" si="32"/>
        <v>810.4478618174403</v>
      </c>
      <c r="G61" s="191">
        <f t="shared" si="32"/>
        <v>531.12819650688016</v>
      </c>
      <c r="H61" s="191">
        <f t="shared" si="32"/>
        <v>473.04704190542418</v>
      </c>
      <c r="I61" s="191">
        <f t="shared" si="32"/>
        <v>412.5916387434242</v>
      </c>
      <c r="J61" s="191">
        <f t="shared" si="32"/>
        <v>872.56775140416005</v>
      </c>
      <c r="K61" s="191">
        <f t="shared" si="32"/>
        <v>777.14871170176809</v>
      </c>
      <c r="L61" s="191">
        <f t="shared" si="32"/>
        <v>677.82912079276809</v>
      </c>
      <c r="Z61" s="202"/>
      <c r="AA61" s="203"/>
      <c r="AB61" s="203"/>
      <c r="AC61" s="203"/>
      <c r="AD61" s="203"/>
      <c r="AE61" s="203"/>
      <c r="AF61" s="203"/>
      <c r="AG61" s="203"/>
      <c r="AH61" s="203"/>
      <c r="AI61" s="203"/>
      <c r="AJ61" s="203"/>
      <c r="AK61" s="203"/>
      <c r="AL61" s="203"/>
      <c r="AM61" s="203"/>
      <c r="AN61" s="203"/>
      <c r="AO61" s="204"/>
      <c r="AR61" s="186"/>
      <c r="AS61" s="187"/>
      <c r="AT61" s="187"/>
      <c r="AU61" s="187"/>
      <c r="AV61" s="187"/>
      <c r="AW61" s="187"/>
      <c r="AX61" s="187"/>
      <c r="AY61" s="187"/>
      <c r="AZ61" s="187"/>
      <c r="BA61" s="187"/>
      <c r="BB61" s="187"/>
      <c r="BC61" s="187"/>
      <c r="BD61" s="187"/>
      <c r="BE61" s="187"/>
      <c r="BF61" s="188"/>
    </row>
    <row r="62" spans="3:75" ht="16.5" thickTop="1" thickBot="1">
      <c r="C62" s="182" t="s">
        <v>202</v>
      </c>
      <c r="D62" s="208">
        <f>D60-D61</f>
        <v>191.30776467263991</v>
      </c>
      <c r="E62" s="208">
        <f t="shared" ref="E62:L62" si="33">E60-E61</f>
        <v>305.39574692549991</v>
      </c>
      <c r="F62" s="208">
        <f t="shared" si="33"/>
        <v>424.14743170799989</v>
      </c>
      <c r="G62" s="208">
        <f t="shared" si="33"/>
        <v>97.393043833343995</v>
      </c>
      <c r="H62" s="208">
        <f t="shared" si="33"/>
        <v>155.47419843479997</v>
      </c>
      <c r="I62" s="208">
        <f t="shared" si="33"/>
        <v>215.92960159679996</v>
      </c>
      <c r="J62" s="208">
        <f t="shared" si="33"/>
        <v>160.00285772620794</v>
      </c>
      <c r="K62" s="208">
        <f t="shared" si="33"/>
        <v>255.42189742859989</v>
      </c>
      <c r="L62" s="208">
        <f t="shared" si="33"/>
        <v>354.74148833759989</v>
      </c>
      <c r="AR62" s="186"/>
      <c r="AS62" s="187"/>
      <c r="AT62" s="187"/>
      <c r="AU62" s="187"/>
      <c r="AV62" s="187"/>
      <c r="AW62" s="187"/>
      <c r="AX62" s="187"/>
      <c r="AY62" s="187"/>
      <c r="AZ62" s="187"/>
      <c r="BA62" s="187"/>
      <c r="BB62" s="187"/>
      <c r="BC62" s="187"/>
      <c r="BD62" s="187"/>
      <c r="BE62" s="187"/>
      <c r="BF62" s="188"/>
    </row>
    <row r="63" spans="3:75" ht="16.5" thickTop="1" thickBot="1">
      <c r="C63" s="182" t="s">
        <v>301</v>
      </c>
      <c r="D63" s="209">
        <f>D62/D60</f>
        <v>0.1549558512622807</v>
      </c>
      <c r="E63" s="209">
        <f t="shared" ref="E63:L63" si="34">E62/E60</f>
        <v>0.24736506653401308</v>
      </c>
      <c r="F63" s="209">
        <f t="shared" si="34"/>
        <v>0.34355179704016897</v>
      </c>
      <c r="G63" s="209">
        <f t="shared" si="34"/>
        <v>0.15495585126228076</v>
      </c>
      <c r="H63" s="209">
        <f t="shared" si="34"/>
        <v>0.24736506653401308</v>
      </c>
      <c r="I63" s="209">
        <f t="shared" si="34"/>
        <v>0.34355179704016897</v>
      </c>
      <c r="J63" s="209">
        <f t="shared" si="34"/>
        <v>0.15495585126228076</v>
      </c>
      <c r="K63" s="209">
        <f t="shared" si="34"/>
        <v>0.24736506653401308</v>
      </c>
      <c r="L63" s="209">
        <f t="shared" si="34"/>
        <v>0.34355179704016903</v>
      </c>
      <c r="AR63" s="186"/>
      <c r="AS63" s="187"/>
      <c r="AT63" s="187"/>
      <c r="AU63" s="187"/>
      <c r="AV63" s="187"/>
      <c r="AW63" s="187"/>
      <c r="AX63" s="187"/>
      <c r="AY63" s="187"/>
      <c r="AZ63" s="187"/>
      <c r="BA63" s="187"/>
      <c r="BB63" s="187"/>
      <c r="BC63" s="187"/>
      <c r="BD63" s="187"/>
      <c r="BE63" s="187"/>
      <c r="BF63" s="188"/>
    </row>
    <row r="64" spans="3:75" ht="31.5" thickTop="1" thickBot="1">
      <c r="C64" s="206" t="s">
        <v>306</v>
      </c>
      <c r="D64" s="207"/>
      <c r="E64" s="207"/>
      <c r="F64" s="207"/>
      <c r="G64" s="207"/>
      <c r="H64" s="207"/>
      <c r="I64" s="207"/>
      <c r="J64" s="207"/>
      <c r="K64" s="207"/>
      <c r="L64" s="207"/>
      <c r="AR64" s="186"/>
      <c r="AS64" s="187"/>
      <c r="AT64" s="187"/>
      <c r="AU64" s="187"/>
      <c r="AV64" s="187"/>
      <c r="AW64" s="187"/>
      <c r="AX64" s="187"/>
      <c r="AY64" s="187"/>
      <c r="AZ64" s="187"/>
      <c r="BA64" s="187"/>
      <c r="BB64" s="187"/>
      <c r="BC64" s="187"/>
      <c r="BD64" s="187"/>
      <c r="BE64" s="187"/>
      <c r="BF64" s="188"/>
    </row>
    <row r="65" spans="3:58" ht="14.25" thickTop="1" thickBot="1">
      <c r="C65" s="189" t="s">
        <v>266</v>
      </c>
      <c r="D65" s="201">
        <f>D30</f>
        <v>55.058174637312007</v>
      </c>
      <c r="E65" s="201">
        <f t="shared" ref="E65:L65" si="35">E30</f>
        <v>55.058174637312007</v>
      </c>
      <c r="F65" s="201">
        <f t="shared" si="35"/>
        <v>55.058174637312007</v>
      </c>
      <c r="G65" s="201">
        <f t="shared" si="35"/>
        <v>28.029616178995202</v>
      </c>
      <c r="H65" s="201">
        <f t="shared" si="35"/>
        <v>28.029616178995202</v>
      </c>
      <c r="I65" s="201">
        <f t="shared" si="35"/>
        <v>28.029616178995202</v>
      </c>
      <c r="J65" s="201">
        <f t="shared" si="35"/>
        <v>46.048655151206397</v>
      </c>
      <c r="K65" s="201">
        <f t="shared" si="35"/>
        <v>46.048655151206397</v>
      </c>
      <c r="L65" s="201">
        <f t="shared" si="35"/>
        <v>46.048655151206397</v>
      </c>
      <c r="AR65" s="186"/>
      <c r="AS65" s="187"/>
      <c r="AT65" s="187"/>
      <c r="AU65" s="187"/>
      <c r="AV65" s="187"/>
      <c r="AW65" s="187"/>
      <c r="AX65" s="187"/>
      <c r="AY65" s="187"/>
      <c r="AZ65" s="187"/>
      <c r="BA65" s="187"/>
      <c r="BB65" s="187"/>
      <c r="BC65" s="187"/>
      <c r="BD65" s="187"/>
      <c r="BE65" s="187"/>
      <c r="BF65" s="188"/>
    </row>
    <row r="66" spans="3:58" ht="14.25" thickTop="1" thickBot="1">
      <c r="C66" s="189" t="s">
        <v>267</v>
      </c>
      <c r="D66" s="201">
        <f t="shared" ref="D66:L66" si="36">O30</f>
        <v>46.526588317440002</v>
      </c>
      <c r="E66" s="201">
        <f t="shared" si="36"/>
        <v>41.438705604912009</v>
      </c>
      <c r="F66" s="201">
        <f t="shared" si="36"/>
        <v>36.142839798912007</v>
      </c>
      <c r="G66" s="201">
        <f t="shared" si="36"/>
        <v>23.686263143424004</v>
      </c>
      <c r="H66" s="201">
        <f t="shared" si="36"/>
        <v>21.096068307955207</v>
      </c>
      <c r="I66" s="201">
        <f t="shared" si="36"/>
        <v>18.399991170355207</v>
      </c>
      <c r="J66" s="201">
        <f t="shared" si="36"/>
        <v>38.913146592767994</v>
      </c>
      <c r="K66" s="201">
        <f t="shared" si="36"/>
        <v>34.657826505926401</v>
      </c>
      <c r="L66" s="201">
        <f t="shared" si="36"/>
        <v>30.228556922726401</v>
      </c>
      <c r="AR66" s="186"/>
      <c r="AS66" s="187"/>
      <c r="AT66" s="187"/>
      <c r="AU66" s="187"/>
      <c r="AV66" s="187"/>
      <c r="AW66" s="187"/>
      <c r="AX66" s="187"/>
      <c r="AY66" s="187"/>
      <c r="AZ66" s="187"/>
      <c r="BA66" s="187"/>
      <c r="BB66" s="187"/>
      <c r="BC66" s="187"/>
      <c r="BD66" s="187"/>
      <c r="BE66" s="187"/>
      <c r="BF66" s="188"/>
    </row>
    <row r="67" spans="3:58" ht="16.5" customHeight="1" thickTop="1" thickBot="1">
      <c r="C67" s="182" t="s">
        <v>202</v>
      </c>
      <c r="D67" s="212">
        <f>D65-D66</f>
        <v>8.5315863198720052</v>
      </c>
      <c r="E67" s="212">
        <f t="shared" ref="E67:L67" si="37">E65-E66</f>
        <v>13.619469032399998</v>
      </c>
      <c r="F67" s="212">
        <f t="shared" si="37"/>
        <v>18.9153348384</v>
      </c>
      <c r="G67" s="212">
        <f t="shared" si="37"/>
        <v>4.343353035571198</v>
      </c>
      <c r="H67" s="212">
        <f t="shared" si="37"/>
        <v>6.9335478710399947</v>
      </c>
      <c r="I67" s="212">
        <f t="shared" si="37"/>
        <v>9.6296250086399944</v>
      </c>
      <c r="J67" s="212">
        <f t="shared" si="37"/>
        <v>7.1355085584384028</v>
      </c>
      <c r="K67" s="212">
        <f t="shared" si="37"/>
        <v>11.390828645279996</v>
      </c>
      <c r="L67" s="212">
        <f t="shared" si="37"/>
        <v>15.820098228479996</v>
      </c>
      <c r="AR67" s="186"/>
      <c r="AS67" s="187"/>
      <c r="AT67" s="187"/>
      <c r="AU67" s="343" t="s">
        <v>307</v>
      </c>
      <c r="AV67" s="343"/>
      <c r="AW67" s="343"/>
      <c r="AX67" s="343"/>
      <c r="AY67" s="343"/>
      <c r="AZ67" s="343"/>
      <c r="BA67" s="343"/>
      <c r="BB67" s="343"/>
      <c r="BC67" s="343"/>
      <c r="BD67" s="343"/>
      <c r="BE67" s="187"/>
      <c r="BF67" s="188"/>
    </row>
    <row r="68" spans="3:58" ht="16.5" thickTop="1" thickBot="1">
      <c r="C68" s="182" t="s">
        <v>301</v>
      </c>
      <c r="D68" s="209">
        <f>D67/D65</f>
        <v>0.1549558512622809</v>
      </c>
      <c r="E68" s="209">
        <f t="shared" ref="E68:L68" si="38">E67/E65</f>
        <v>0.24736506653401311</v>
      </c>
      <c r="F68" s="209">
        <f t="shared" si="38"/>
        <v>0.34355179704016908</v>
      </c>
      <c r="G68" s="209">
        <f t="shared" si="38"/>
        <v>0.15495585126228073</v>
      </c>
      <c r="H68" s="209">
        <f t="shared" si="38"/>
        <v>0.24736506653401297</v>
      </c>
      <c r="I68" s="209">
        <f t="shared" si="38"/>
        <v>0.34355179704016892</v>
      </c>
      <c r="J68" s="209">
        <f t="shared" si="38"/>
        <v>0.15495585126228087</v>
      </c>
      <c r="K68" s="209">
        <f t="shared" si="38"/>
        <v>0.24736506653401311</v>
      </c>
      <c r="L68" s="209">
        <f t="shared" si="38"/>
        <v>0.34355179704016908</v>
      </c>
      <c r="AR68" s="186"/>
      <c r="AS68" s="187"/>
      <c r="AT68" s="187"/>
      <c r="AU68" s="343"/>
      <c r="AV68" s="343"/>
      <c r="AW68" s="343"/>
      <c r="AX68" s="343"/>
      <c r="AY68" s="343"/>
      <c r="AZ68" s="343"/>
      <c r="BA68" s="343"/>
      <c r="BB68" s="343"/>
      <c r="BC68" s="343"/>
      <c r="BD68" s="343"/>
      <c r="BE68" s="187"/>
      <c r="BF68" s="188"/>
    </row>
    <row r="69" spans="3:58" ht="31.5" customHeight="1" thickTop="1" thickBot="1">
      <c r="C69" s="206" t="s">
        <v>308</v>
      </c>
      <c r="D69" s="207"/>
      <c r="E69" s="207"/>
      <c r="F69" s="207"/>
      <c r="G69" s="207"/>
      <c r="H69" s="207"/>
      <c r="I69" s="207"/>
      <c r="J69" s="207"/>
      <c r="K69" s="207"/>
      <c r="L69" s="207"/>
      <c r="AR69" s="186"/>
      <c r="AS69" s="187"/>
      <c r="AT69" s="187"/>
      <c r="AU69" s="343"/>
      <c r="AV69" s="343"/>
      <c r="AW69" s="343"/>
      <c r="AX69" s="343"/>
      <c r="AY69" s="343"/>
      <c r="AZ69" s="343"/>
      <c r="BA69" s="343"/>
      <c r="BB69" s="343"/>
      <c r="BC69" s="343"/>
      <c r="BD69" s="343"/>
      <c r="BE69" s="187"/>
      <c r="BF69" s="188"/>
    </row>
    <row r="70" spans="3:58" ht="14.25" thickTop="1" thickBot="1">
      <c r="C70" s="189" t="s">
        <v>266</v>
      </c>
      <c r="D70" s="191">
        <f>D32</f>
        <v>681.49660202604309</v>
      </c>
      <c r="E70" s="191">
        <f t="shared" ref="E70:L70" si="39">E32</f>
        <v>681.49660202604309</v>
      </c>
      <c r="F70" s="191">
        <f t="shared" si="39"/>
        <v>681.49660202604309</v>
      </c>
      <c r="G70" s="191">
        <f t="shared" si="39"/>
        <v>346.94372466780374</v>
      </c>
      <c r="H70" s="191">
        <f t="shared" si="39"/>
        <v>346.94372466780374</v>
      </c>
      <c r="I70" s="191">
        <f t="shared" si="39"/>
        <v>346.94372466780374</v>
      </c>
      <c r="J70" s="191">
        <f t="shared" si="39"/>
        <v>569.97897623996323</v>
      </c>
      <c r="K70" s="191">
        <f t="shared" si="39"/>
        <v>569.97897623996323</v>
      </c>
      <c r="L70" s="191">
        <f t="shared" si="39"/>
        <v>569.97897623996323</v>
      </c>
      <c r="AR70" s="186"/>
      <c r="AS70" s="187"/>
      <c r="AT70" s="187"/>
      <c r="AU70" s="343"/>
      <c r="AV70" s="343"/>
      <c r="AW70" s="343"/>
      <c r="AX70" s="343"/>
      <c r="AY70" s="343"/>
      <c r="AZ70" s="343"/>
      <c r="BA70" s="343"/>
      <c r="BB70" s="343"/>
      <c r="BC70" s="343"/>
      <c r="BD70" s="343"/>
      <c r="BE70" s="187"/>
      <c r="BF70" s="188"/>
    </row>
    <row r="71" spans="3:58" ht="14.25" thickTop="1" thickBot="1">
      <c r="C71" s="189" t="s">
        <v>267</v>
      </c>
      <c r="D71" s="191">
        <f t="shared" ref="D71:L71" si="40">O32</f>
        <v>575.89471592674579</v>
      </c>
      <c r="E71" s="191">
        <f t="shared" si="40"/>
        <v>512.91814972316706</v>
      </c>
      <c r="F71" s="191">
        <f t="shared" si="40"/>
        <v>447.36721972322709</v>
      </c>
      <c r="G71" s="191">
        <f t="shared" si="40"/>
        <v>293.1827644717979</v>
      </c>
      <c r="H71" s="191">
        <f t="shared" si="40"/>
        <v>261.12196713179418</v>
      </c>
      <c r="I71" s="191">
        <f t="shared" si="40"/>
        <v>227.75058458637017</v>
      </c>
      <c r="J71" s="191">
        <f t="shared" si="40"/>
        <v>481.6573987750964</v>
      </c>
      <c r="K71" s="191">
        <f t="shared" si="40"/>
        <v>428.98608885937603</v>
      </c>
      <c r="L71" s="191">
        <f t="shared" si="40"/>
        <v>374.161674677608</v>
      </c>
      <c r="AR71" s="186"/>
      <c r="AS71" s="187"/>
      <c r="AT71" s="187"/>
      <c r="AU71" s="343"/>
      <c r="AV71" s="343"/>
      <c r="AW71" s="343"/>
      <c r="AX71" s="343"/>
      <c r="AY71" s="343"/>
      <c r="AZ71" s="343"/>
      <c r="BA71" s="343"/>
      <c r="BB71" s="343"/>
      <c r="BC71" s="343"/>
      <c r="BD71" s="343"/>
      <c r="BE71" s="187"/>
      <c r="BF71" s="188"/>
    </row>
    <row r="72" spans="3:58" ht="16.5" thickTop="1" thickBot="1">
      <c r="C72" s="182" t="s">
        <v>202</v>
      </c>
      <c r="D72" s="208">
        <f>D70-D71</f>
        <v>105.6018860992973</v>
      </c>
      <c r="E72" s="208">
        <f t="shared" ref="E72:L72" si="41">E70-E71</f>
        <v>168.57845230287603</v>
      </c>
      <c r="F72" s="208">
        <f t="shared" si="41"/>
        <v>234.129382302816</v>
      </c>
      <c r="G72" s="208">
        <f t="shared" si="41"/>
        <v>53.76096019600584</v>
      </c>
      <c r="H72" s="208">
        <f t="shared" si="41"/>
        <v>85.821757536009557</v>
      </c>
      <c r="I72" s="208">
        <f t="shared" si="41"/>
        <v>119.19314008143357</v>
      </c>
      <c r="J72" s="208">
        <f t="shared" si="41"/>
        <v>88.321577464866834</v>
      </c>
      <c r="K72" s="208">
        <f t="shared" si="41"/>
        <v>140.99288738058721</v>
      </c>
      <c r="L72" s="208">
        <f t="shared" si="41"/>
        <v>195.81730156235523</v>
      </c>
      <c r="AR72" s="186"/>
      <c r="AS72" s="187"/>
      <c r="AT72" s="187"/>
      <c r="AU72" s="343"/>
      <c r="AV72" s="343"/>
      <c r="AW72" s="343"/>
      <c r="AX72" s="343"/>
      <c r="AY72" s="343"/>
      <c r="AZ72" s="343"/>
      <c r="BA72" s="343"/>
      <c r="BB72" s="343"/>
      <c r="BC72" s="343"/>
      <c r="BD72" s="343"/>
      <c r="BE72" s="187"/>
      <c r="BF72" s="188"/>
    </row>
    <row r="73" spans="3:58" ht="23.25" customHeight="1" thickTop="1" thickBot="1">
      <c r="C73" s="182" t="s">
        <v>301</v>
      </c>
      <c r="D73" s="209">
        <f>D72/D70</f>
        <v>0.15495585126228079</v>
      </c>
      <c r="E73" s="209">
        <f t="shared" ref="E73:L73" si="42">E72/E70</f>
        <v>0.24736506653401316</v>
      </c>
      <c r="F73" s="209">
        <f t="shared" si="42"/>
        <v>0.34355179704016903</v>
      </c>
      <c r="G73" s="209">
        <f t="shared" si="42"/>
        <v>0.15495585126228062</v>
      </c>
      <c r="H73" s="209">
        <f t="shared" si="42"/>
        <v>0.247365066534013</v>
      </c>
      <c r="I73" s="209">
        <f t="shared" si="42"/>
        <v>0.34355179704016897</v>
      </c>
      <c r="J73" s="209">
        <f t="shared" si="42"/>
        <v>0.15495585126228081</v>
      </c>
      <c r="K73" s="209">
        <f t="shared" si="42"/>
        <v>0.24736506653401316</v>
      </c>
      <c r="L73" s="209">
        <f t="shared" si="42"/>
        <v>0.34355179704016914</v>
      </c>
      <c r="AR73" s="186"/>
      <c r="AS73" s="198"/>
      <c r="AT73" s="187"/>
      <c r="AU73" s="343"/>
      <c r="AV73" s="343"/>
      <c r="AW73" s="343"/>
      <c r="AX73" s="343"/>
      <c r="AY73" s="343"/>
      <c r="AZ73" s="343"/>
      <c r="BA73" s="343"/>
      <c r="BB73" s="343"/>
      <c r="BC73" s="343"/>
      <c r="BD73" s="343"/>
      <c r="BE73" s="187"/>
      <c r="BF73" s="188"/>
    </row>
    <row r="74" spans="3:58" ht="23.25" customHeight="1" thickTop="1" thickBot="1">
      <c r="C74" s="206" t="s">
        <v>309</v>
      </c>
      <c r="D74" s="207"/>
      <c r="E74" s="207"/>
      <c r="F74" s="207"/>
      <c r="G74" s="207"/>
      <c r="H74" s="207"/>
      <c r="I74" s="207"/>
      <c r="J74" s="207"/>
      <c r="K74" s="207"/>
      <c r="L74" s="207"/>
      <c r="AR74" s="202"/>
      <c r="AS74" s="213"/>
      <c r="AT74" s="203"/>
      <c r="AU74" s="203"/>
      <c r="AV74" s="203"/>
      <c r="AW74" s="203"/>
      <c r="AX74" s="203"/>
      <c r="AY74" s="203"/>
      <c r="AZ74" s="203"/>
      <c r="BA74" s="203"/>
      <c r="BB74" s="203"/>
      <c r="BC74" s="203"/>
      <c r="BD74" s="203"/>
      <c r="BE74" s="203"/>
      <c r="BF74" s="204"/>
    </row>
    <row r="75" spans="3:58" ht="14.25" thickTop="1" thickBot="1">
      <c r="C75" s="189" t="s">
        <v>266</v>
      </c>
      <c r="D75" s="201">
        <f>D33</f>
        <v>24.666062237515778</v>
      </c>
      <c r="E75" s="201">
        <f t="shared" ref="E75:L75" si="43">E33</f>
        <v>24.666062237515778</v>
      </c>
      <c r="F75" s="201">
        <f t="shared" si="43"/>
        <v>24.666062237515778</v>
      </c>
      <c r="G75" s="201">
        <f t="shared" si="43"/>
        <v>12.557268048189849</v>
      </c>
      <c r="H75" s="201">
        <f t="shared" si="43"/>
        <v>12.557268048189849</v>
      </c>
      <c r="I75" s="201">
        <f t="shared" si="43"/>
        <v>12.557268048189849</v>
      </c>
      <c r="J75" s="201">
        <f t="shared" si="43"/>
        <v>20.629797507740463</v>
      </c>
      <c r="K75" s="201">
        <f t="shared" si="43"/>
        <v>20.629797507740463</v>
      </c>
      <c r="L75" s="201">
        <f t="shared" si="43"/>
        <v>20.629797507740463</v>
      </c>
    </row>
    <row r="76" spans="3:58" ht="14.25" thickTop="1" thickBot="1">
      <c r="C76" s="189" t="s">
        <v>267</v>
      </c>
      <c r="D76" s="201">
        <f t="shared" ref="D76:L76" si="44">O33</f>
        <v>20.843911566213119</v>
      </c>
      <c r="E76" s="201">
        <f t="shared" si="44"/>
        <v>18.564540111000579</v>
      </c>
      <c r="F76" s="201">
        <f t="shared" si="44"/>
        <v>16.191992229912579</v>
      </c>
      <c r="G76" s="201">
        <f t="shared" si="44"/>
        <v>10.611445888253952</v>
      </c>
      <c r="H76" s="201">
        <f t="shared" si="44"/>
        <v>9.4510386019639316</v>
      </c>
      <c r="I76" s="201">
        <f t="shared" si="44"/>
        <v>8.2431960443191326</v>
      </c>
      <c r="J76" s="201">
        <f t="shared" si="44"/>
        <v>17.433089673560058</v>
      </c>
      <c r="K76" s="201">
        <f t="shared" si="44"/>
        <v>15.526706274655027</v>
      </c>
      <c r="L76" s="201">
        <f t="shared" si="44"/>
        <v>13.542393501381426</v>
      </c>
    </row>
    <row r="77" spans="3:58" ht="16.5" thickTop="1" thickBot="1">
      <c r="C77" s="182" t="s">
        <v>202</v>
      </c>
      <c r="D77" s="212">
        <f>D75-D76</f>
        <v>3.8221506713026585</v>
      </c>
      <c r="E77" s="212">
        <f t="shared" ref="E77:L77" si="45">E75-E76</f>
        <v>6.1015221265151993</v>
      </c>
      <c r="F77" s="212">
        <f t="shared" si="45"/>
        <v>8.4740700076031992</v>
      </c>
      <c r="G77" s="212">
        <f t="shared" si="45"/>
        <v>1.9458221599358971</v>
      </c>
      <c r="H77" s="212">
        <f t="shared" si="45"/>
        <v>3.1062294462259175</v>
      </c>
      <c r="I77" s="212">
        <f t="shared" si="45"/>
        <v>4.3140720038707165</v>
      </c>
      <c r="J77" s="212">
        <f t="shared" si="45"/>
        <v>3.1967078341804047</v>
      </c>
      <c r="K77" s="212">
        <f t="shared" si="45"/>
        <v>5.1030912330854363</v>
      </c>
      <c r="L77" s="212">
        <f t="shared" si="45"/>
        <v>7.0874040063590371</v>
      </c>
    </row>
    <row r="78" spans="3:58" ht="16.5" thickTop="1" thickBot="1">
      <c r="C78" s="182" t="s">
        <v>301</v>
      </c>
      <c r="D78" s="209">
        <f>D77/D75</f>
        <v>0.1549558512622809</v>
      </c>
      <c r="E78" s="209">
        <f t="shared" ref="E78:L78" si="46">E77/E75</f>
        <v>0.24736506653401313</v>
      </c>
      <c r="F78" s="209">
        <f t="shared" si="46"/>
        <v>0.34355179704016908</v>
      </c>
      <c r="G78" s="209">
        <f t="shared" si="46"/>
        <v>0.15495585126228079</v>
      </c>
      <c r="H78" s="209">
        <f t="shared" si="46"/>
        <v>0.247365066534013</v>
      </c>
      <c r="I78" s="209">
        <f t="shared" si="46"/>
        <v>0.34355179704016886</v>
      </c>
      <c r="J78" s="209">
        <f t="shared" si="46"/>
        <v>0.15495585126228092</v>
      </c>
      <c r="K78" s="209">
        <f t="shared" si="46"/>
        <v>0.24736506653401305</v>
      </c>
      <c r="L78" s="209">
        <f t="shared" si="46"/>
        <v>0.34355179704016908</v>
      </c>
    </row>
    <row r="79" spans="3:58" ht="31.5" thickTop="1" thickBot="1">
      <c r="C79" s="206" t="s">
        <v>310</v>
      </c>
      <c r="D79" s="207"/>
      <c r="E79" s="207"/>
      <c r="F79" s="207"/>
      <c r="G79" s="207"/>
      <c r="H79" s="207"/>
      <c r="I79" s="207"/>
      <c r="J79" s="207"/>
      <c r="K79" s="207"/>
      <c r="L79" s="207"/>
    </row>
    <row r="80" spans="3:58" ht="14.25" thickTop="1" thickBot="1">
      <c r="C80" s="189" t="s">
        <v>266</v>
      </c>
      <c r="D80" s="191">
        <f>D24</f>
        <v>33.27170295662804</v>
      </c>
      <c r="E80" s="191">
        <f t="shared" ref="E80:L80" si="47">E24</f>
        <v>33.27170295662804</v>
      </c>
      <c r="F80" s="191">
        <f t="shared" si="47"/>
        <v>33.27170295662804</v>
      </c>
      <c r="G80" s="191">
        <f t="shared" si="47"/>
        <v>16.938321505192455</v>
      </c>
      <c r="H80" s="191">
        <f t="shared" si="47"/>
        <v>16.938321505192455</v>
      </c>
      <c r="I80" s="191">
        <f t="shared" si="47"/>
        <v>16.938321505192455</v>
      </c>
      <c r="J80" s="191">
        <f t="shared" si="47"/>
        <v>27.827242472816174</v>
      </c>
      <c r="K80" s="191">
        <f t="shared" si="47"/>
        <v>27.827242472816174</v>
      </c>
      <c r="L80" s="191">
        <f t="shared" si="47"/>
        <v>27.827242472816174</v>
      </c>
    </row>
    <row r="81" spans="2:34" ht="14.25" thickTop="1" thickBot="1">
      <c r="C81" s="189" t="s">
        <v>267</v>
      </c>
      <c r="D81" s="191">
        <f t="shared" ref="D81:L81" si="48">O24</f>
        <v>27.222302419059307</v>
      </c>
      <c r="E81" s="191">
        <f t="shared" si="48"/>
        <v>23.819514616676891</v>
      </c>
      <c r="F81" s="191">
        <f t="shared" si="48"/>
        <v>20.416726814294481</v>
      </c>
      <c r="G81" s="191">
        <f t="shared" si="48"/>
        <v>13.858626686066556</v>
      </c>
      <c r="H81" s="191">
        <f t="shared" si="48"/>
        <v>12.126298350308236</v>
      </c>
      <c r="I81" s="191">
        <f t="shared" si="48"/>
        <v>10.393970014549918</v>
      </c>
      <c r="J81" s="191">
        <f t="shared" si="48"/>
        <v>22.767743841395053</v>
      </c>
      <c r="K81" s="191">
        <f t="shared" si="48"/>
        <v>19.92177586122067</v>
      </c>
      <c r="L81" s="191">
        <f t="shared" si="48"/>
        <v>17.075807881046288</v>
      </c>
    </row>
    <row r="82" spans="2:34" ht="16.5" thickTop="1" thickBot="1">
      <c r="C82" s="182" t="s">
        <v>202</v>
      </c>
      <c r="D82" s="208">
        <f>D80-D81</f>
        <v>6.049400537568733</v>
      </c>
      <c r="E82" s="208">
        <f t="shared" ref="E82:L82" si="49">E80-E81</f>
        <v>9.4521883399511495</v>
      </c>
      <c r="F82" s="208">
        <f t="shared" si="49"/>
        <v>12.854976142333559</v>
      </c>
      <c r="G82" s="208">
        <f t="shared" si="49"/>
        <v>3.0796948191258995</v>
      </c>
      <c r="H82" s="208">
        <f t="shared" si="49"/>
        <v>4.8120231548842192</v>
      </c>
      <c r="I82" s="208">
        <f t="shared" si="49"/>
        <v>6.5443514906425371</v>
      </c>
      <c r="J82" s="208">
        <f t="shared" si="49"/>
        <v>5.0594986314211212</v>
      </c>
      <c r="K82" s="208">
        <f t="shared" si="49"/>
        <v>7.9054666115955037</v>
      </c>
      <c r="L82" s="208">
        <f t="shared" si="49"/>
        <v>10.751434591769886</v>
      </c>
    </row>
    <row r="83" spans="2:34" ht="16.5" thickTop="1" thickBot="1">
      <c r="C83" s="182" t="s">
        <v>301</v>
      </c>
      <c r="D83" s="209">
        <f>D82/D80</f>
        <v>0.18181818181818177</v>
      </c>
      <c r="E83" s="209">
        <f t="shared" ref="E83:L83" si="50">E82/E80</f>
        <v>0.28409090909090912</v>
      </c>
      <c r="F83" s="209">
        <f t="shared" si="50"/>
        <v>0.3863636363636363</v>
      </c>
      <c r="G83" s="209">
        <f t="shared" si="50"/>
        <v>0.18181818181818174</v>
      </c>
      <c r="H83" s="209">
        <f t="shared" si="50"/>
        <v>0.28409090909090901</v>
      </c>
      <c r="I83" s="209">
        <f t="shared" si="50"/>
        <v>0.38636363636363624</v>
      </c>
      <c r="J83" s="209">
        <f t="shared" si="50"/>
        <v>0.18181818181818177</v>
      </c>
      <c r="K83" s="209">
        <f t="shared" si="50"/>
        <v>0.28409090909090906</v>
      </c>
      <c r="L83" s="209">
        <f t="shared" si="50"/>
        <v>0.38636363636363641</v>
      </c>
    </row>
    <row r="84" spans="2:34" s="217" customFormat="1" ht="15.75" thickTop="1">
      <c r="B84" s="214"/>
      <c r="C84" s="215"/>
      <c r="D84" s="216"/>
      <c r="E84" s="216"/>
      <c r="F84" s="216"/>
      <c r="G84" s="216"/>
      <c r="H84" s="216"/>
      <c r="I84" s="216"/>
      <c r="J84" s="216"/>
      <c r="K84" s="216"/>
      <c r="L84" s="216"/>
    </row>
    <row r="85" spans="2:34" s="217" customFormat="1">
      <c r="B85" s="218" t="s">
        <v>311</v>
      </c>
      <c r="C85" s="219"/>
      <c r="D85" s="219"/>
      <c r="E85" s="219"/>
      <c r="F85" s="219"/>
      <c r="G85" s="219"/>
      <c r="H85" s="219"/>
      <c r="I85" s="120" t="s">
        <v>211</v>
      </c>
      <c r="J85" s="219"/>
      <c r="K85" s="219"/>
      <c r="L85" s="219"/>
      <c r="M85" s="178"/>
      <c r="N85" s="178"/>
      <c r="O85" s="178"/>
      <c r="P85" s="178"/>
      <c r="Q85" s="178"/>
      <c r="R85" s="178"/>
      <c r="S85" s="178"/>
      <c r="T85" s="178"/>
      <c r="U85" s="178"/>
      <c r="V85" s="178"/>
    </row>
    <row r="86" spans="2:34" s="217" customFormat="1" ht="13.5" thickBot="1">
      <c r="B86" s="214"/>
      <c r="C86" s="179" t="s">
        <v>266</v>
      </c>
      <c r="D86" s="180"/>
      <c r="E86" s="180"/>
      <c r="F86" s="180"/>
      <c r="G86" s="180"/>
      <c r="H86" s="180"/>
      <c r="I86" s="180"/>
      <c r="J86" s="181"/>
      <c r="K86" s="180"/>
      <c r="L86" s="180"/>
      <c r="M86" s="176"/>
      <c r="N86" s="179" t="s">
        <v>267</v>
      </c>
      <c r="O86" s="180"/>
      <c r="P86" s="180"/>
      <c r="Q86" s="180"/>
      <c r="R86" s="180"/>
      <c r="S86" s="180"/>
      <c r="T86" s="180"/>
      <c r="U86" s="181"/>
      <c r="V86" s="180"/>
      <c r="W86" s="180"/>
      <c r="Y86" s="179" t="s">
        <v>312</v>
      </c>
      <c r="Z86" s="180"/>
      <c r="AA86" s="180"/>
      <c r="AB86" s="180"/>
      <c r="AC86" s="180"/>
      <c r="AD86" s="180"/>
      <c r="AE86" s="180"/>
      <c r="AF86" s="181"/>
      <c r="AG86" s="180"/>
      <c r="AH86" s="180"/>
    </row>
    <row r="87" spans="2:34" s="217" customFormat="1" ht="16.5" customHeight="1" thickTop="1" thickBot="1">
      <c r="B87" s="214"/>
      <c r="C87" s="182" t="s">
        <v>268</v>
      </c>
      <c r="D87" s="344" t="str">
        <f>$D$9</f>
        <v>Primary Shower</v>
      </c>
      <c r="E87" s="344"/>
      <c r="F87" s="344"/>
      <c r="G87" s="344" t="str">
        <f>$G$9</f>
        <v>Secondary Shower</v>
      </c>
      <c r="H87" s="344"/>
      <c r="I87" s="344"/>
      <c r="J87" s="344" t="str">
        <f>$J$9</f>
        <v>Any Shower</v>
      </c>
      <c r="K87" s="344"/>
      <c r="L87" s="344"/>
      <c r="N87" s="182" t="s">
        <v>268</v>
      </c>
      <c r="O87" s="344" t="str">
        <f>$D$9</f>
        <v>Primary Shower</v>
      </c>
      <c r="P87" s="344"/>
      <c r="Q87" s="344"/>
      <c r="R87" s="344" t="str">
        <f>$G$9</f>
        <v>Secondary Shower</v>
      </c>
      <c r="S87" s="344"/>
      <c r="T87" s="344"/>
      <c r="U87" s="344" t="str">
        <f>$J$9</f>
        <v>Any Shower</v>
      </c>
      <c r="V87" s="344"/>
      <c r="W87" s="344"/>
      <c r="Y87" s="182" t="s">
        <v>268</v>
      </c>
      <c r="Z87" s="344" t="str">
        <f>$D$9</f>
        <v>Primary Shower</v>
      </c>
      <c r="AA87" s="344"/>
      <c r="AB87" s="344"/>
      <c r="AC87" s="344" t="str">
        <f>$G$9</f>
        <v>Secondary Shower</v>
      </c>
      <c r="AD87" s="344"/>
      <c r="AE87" s="344"/>
      <c r="AF87" s="345" t="str">
        <f>$J$9</f>
        <v>Any Shower</v>
      </c>
      <c r="AG87" s="345"/>
      <c r="AH87" s="345"/>
    </row>
    <row r="88" spans="2:34" s="217" customFormat="1" ht="34.5" customHeight="1" thickTop="1" thickBot="1">
      <c r="B88" s="214"/>
      <c r="C88" s="182" t="s">
        <v>272</v>
      </c>
      <c r="D88" s="134" t="s">
        <v>273</v>
      </c>
      <c r="E88" s="134" t="s">
        <v>274</v>
      </c>
      <c r="F88" s="134" t="s">
        <v>275</v>
      </c>
      <c r="G88" s="134" t="s">
        <v>273</v>
      </c>
      <c r="H88" s="134" t="s">
        <v>274</v>
      </c>
      <c r="I88" s="134" t="s">
        <v>275</v>
      </c>
      <c r="J88" s="134" t="s">
        <v>273</v>
      </c>
      <c r="K88" s="134" t="s">
        <v>274</v>
      </c>
      <c r="L88" s="134" t="s">
        <v>275</v>
      </c>
      <c r="N88" s="182" t="s">
        <v>272</v>
      </c>
      <c r="O88" s="134" t="s">
        <v>273</v>
      </c>
      <c r="P88" s="134" t="s">
        <v>274</v>
      </c>
      <c r="Q88" s="134" t="s">
        <v>275</v>
      </c>
      <c r="R88" s="134" t="s">
        <v>273</v>
      </c>
      <c r="S88" s="134" t="s">
        <v>274</v>
      </c>
      <c r="T88" s="134" t="s">
        <v>275</v>
      </c>
      <c r="U88" s="134" t="s">
        <v>273</v>
      </c>
      <c r="V88" s="134" t="s">
        <v>274</v>
      </c>
      <c r="W88" s="134" t="s">
        <v>275</v>
      </c>
      <c r="Y88" s="182" t="s">
        <v>272</v>
      </c>
      <c r="Z88" s="134" t="s">
        <v>273</v>
      </c>
      <c r="AA88" s="134" t="s">
        <v>274</v>
      </c>
      <c r="AB88" s="134" t="s">
        <v>275</v>
      </c>
      <c r="AC88" s="134" t="s">
        <v>273</v>
      </c>
      <c r="AD88" s="134" t="s">
        <v>274</v>
      </c>
      <c r="AE88" s="134" t="s">
        <v>275</v>
      </c>
      <c r="AF88" s="230" t="s">
        <v>273</v>
      </c>
      <c r="AG88" s="230" t="s">
        <v>274</v>
      </c>
      <c r="AH88" s="230" t="s">
        <v>275</v>
      </c>
    </row>
    <row r="89" spans="2:34" s="217" customFormat="1" ht="14.25" thickTop="1" thickBot="1">
      <c r="B89" s="214"/>
      <c r="C89" s="220" t="s">
        <v>299</v>
      </c>
      <c r="D89" s="191">
        <f>D40</f>
        <v>9031.0528000000013</v>
      </c>
      <c r="E89" s="191">
        <f t="shared" ref="E89:L89" si="51">E40</f>
        <v>9031.0528000000013</v>
      </c>
      <c r="F89" s="191">
        <f t="shared" si="51"/>
        <v>9031.0528000000013</v>
      </c>
      <c r="G89" s="191">
        <f t="shared" si="51"/>
        <v>4597.6268800000007</v>
      </c>
      <c r="H89" s="191">
        <f t="shared" si="51"/>
        <v>4597.6268800000007</v>
      </c>
      <c r="I89" s="191">
        <f t="shared" si="51"/>
        <v>4597.6268800000007</v>
      </c>
      <c r="J89" s="191">
        <f t="shared" si="51"/>
        <v>7553.2441600000002</v>
      </c>
      <c r="K89" s="191">
        <f t="shared" si="51"/>
        <v>7553.2441600000002</v>
      </c>
      <c r="L89" s="191">
        <f t="shared" si="51"/>
        <v>7553.2441600000002</v>
      </c>
      <c r="N89" s="220" t="s">
        <v>299</v>
      </c>
      <c r="O89" s="191">
        <f>D41</f>
        <v>7389.0432000000019</v>
      </c>
      <c r="P89" s="191">
        <f t="shared" ref="P89:W89" si="52">E41</f>
        <v>6465.412800000001</v>
      </c>
      <c r="Q89" s="191">
        <f t="shared" si="52"/>
        <v>5541.7824000000019</v>
      </c>
      <c r="R89" s="191">
        <f t="shared" si="52"/>
        <v>3761.6947200000009</v>
      </c>
      <c r="S89" s="191">
        <f t="shared" si="52"/>
        <v>3291.4828800000009</v>
      </c>
      <c r="T89" s="191">
        <f t="shared" si="52"/>
        <v>2821.271040000001</v>
      </c>
      <c r="U89" s="191">
        <f t="shared" si="52"/>
        <v>6179.9270400000005</v>
      </c>
      <c r="V89" s="191">
        <f t="shared" si="52"/>
        <v>5407.4361600000002</v>
      </c>
      <c r="W89" s="191">
        <f t="shared" si="52"/>
        <v>4634.9452799999999</v>
      </c>
      <c r="Y89" s="220" t="s">
        <v>299</v>
      </c>
      <c r="Z89" s="191">
        <f t="shared" ref="Z89:AH97" si="53">D89-O89</f>
        <v>1642.0095999999994</v>
      </c>
      <c r="AA89" s="191">
        <f t="shared" si="53"/>
        <v>2565.6400000000003</v>
      </c>
      <c r="AB89" s="191">
        <f t="shared" si="53"/>
        <v>3489.2703999999994</v>
      </c>
      <c r="AC89" s="191">
        <f t="shared" si="53"/>
        <v>835.93215999999984</v>
      </c>
      <c r="AD89" s="191">
        <f t="shared" si="53"/>
        <v>1306.1439999999998</v>
      </c>
      <c r="AE89" s="191">
        <f t="shared" si="53"/>
        <v>1776.3558399999997</v>
      </c>
      <c r="AF89" s="229">
        <f t="shared" si="53"/>
        <v>1373.3171199999997</v>
      </c>
      <c r="AG89" s="229">
        <f t="shared" si="53"/>
        <v>2145.808</v>
      </c>
      <c r="AH89" s="229">
        <f t="shared" si="53"/>
        <v>2918.2988800000003</v>
      </c>
    </row>
    <row r="90" spans="2:34" s="217" customFormat="1" ht="14.25" thickTop="1" thickBot="1">
      <c r="B90" s="214"/>
      <c r="C90" s="220" t="s">
        <v>313</v>
      </c>
      <c r="D90" s="221">
        <f>D45</f>
        <v>138.44603942400002</v>
      </c>
      <c r="E90" s="221">
        <f t="shared" ref="E90:L90" si="54">E45</f>
        <v>138.44603942400002</v>
      </c>
      <c r="F90" s="221">
        <f t="shared" si="54"/>
        <v>138.44603942400002</v>
      </c>
      <c r="G90" s="221">
        <f t="shared" si="54"/>
        <v>70.481620070400012</v>
      </c>
      <c r="H90" s="221">
        <f t="shared" si="54"/>
        <v>70.481620070400012</v>
      </c>
      <c r="I90" s="221">
        <f t="shared" si="54"/>
        <v>70.481620070400012</v>
      </c>
      <c r="J90" s="221">
        <f t="shared" si="54"/>
        <v>115.7912329728</v>
      </c>
      <c r="K90" s="221">
        <f t="shared" si="54"/>
        <v>115.7912329728</v>
      </c>
      <c r="L90" s="221">
        <f t="shared" si="54"/>
        <v>115.7912329728</v>
      </c>
      <c r="N90" s="220" t="s">
        <v>313</v>
      </c>
      <c r="O90" s="196">
        <f>D46</f>
        <v>113.27403225600004</v>
      </c>
      <c r="P90" s="196">
        <f t="shared" ref="P90:W90" si="55">E46</f>
        <v>99.114778224000005</v>
      </c>
      <c r="Q90" s="196">
        <f t="shared" si="55"/>
        <v>84.955524192000027</v>
      </c>
      <c r="R90" s="196">
        <f t="shared" si="55"/>
        <v>57.666780057600015</v>
      </c>
      <c r="S90" s="196">
        <f t="shared" si="55"/>
        <v>50.458432550400012</v>
      </c>
      <c r="T90" s="196">
        <f t="shared" si="55"/>
        <v>43.250085043200016</v>
      </c>
      <c r="U90" s="196">
        <f t="shared" si="55"/>
        <v>94.738281523200015</v>
      </c>
      <c r="V90" s="196">
        <f t="shared" si="55"/>
        <v>82.895996332799996</v>
      </c>
      <c r="W90" s="196">
        <f t="shared" si="55"/>
        <v>71.053711142400005</v>
      </c>
      <c r="Y90" s="220" t="s">
        <v>313</v>
      </c>
      <c r="Z90" s="196">
        <f t="shared" si="53"/>
        <v>25.172007167999979</v>
      </c>
      <c r="AA90" s="196">
        <f t="shared" si="53"/>
        <v>39.331261200000014</v>
      </c>
      <c r="AB90" s="196">
        <f t="shared" si="53"/>
        <v>53.490515231999993</v>
      </c>
      <c r="AC90" s="196">
        <f t="shared" si="53"/>
        <v>12.814840012799998</v>
      </c>
      <c r="AD90" s="196">
        <f t="shared" si="53"/>
        <v>20.02318752</v>
      </c>
      <c r="AE90" s="196">
        <f t="shared" si="53"/>
        <v>27.231535027199996</v>
      </c>
      <c r="AF90" s="231">
        <f t="shared" si="53"/>
        <v>21.052951449599988</v>
      </c>
      <c r="AG90" s="231">
        <f t="shared" si="53"/>
        <v>32.895236640000007</v>
      </c>
      <c r="AH90" s="231">
        <f t="shared" si="53"/>
        <v>44.737521830399999</v>
      </c>
    </row>
    <row r="91" spans="2:34" s="217" customFormat="1" ht="14.25" thickTop="1" thickBot="1">
      <c r="B91" s="214"/>
      <c r="C91" s="220" t="s">
        <v>314</v>
      </c>
      <c r="D91" s="191">
        <f>D80</f>
        <v>33.27170295662804</v>
      </c>
      <c r="E91" s="191">
        <f t="shared" ref="E91:L91" si="56">E80</f>
        <v>33.27170295662804</v>
      </c>
      <c r="F91" s="191">
        <f t="shared" si="56"/>
        <v>33.27170295662804</v>
      </c>
      <c r="G91" s="191">
        <f t="shared" si="56"/>
        <v>16.938321505192455</v>
      </c>
      <c r="H91" s="191">
        <f t="shared" si="56"/>
        <v>16.938321505192455</v>
      </c>
      <c r="I91" s="191">
        <f t="shared" si="56"/>
        <v>16.938321505192455</v>
      </c>
      <c r="J91" s="191">
        <f t="shared" si="56"/>
        <v>27.827242472816174</v>
      </c>
      <c r="K91" s="191">
        <f t="shared" si="56"/>
        <v>27.827242472816174</v>
      </c>
      <c r="L91" s="191">
        <f t="shared" si="56"/>
        <v>27.827242472816174</v>
      </c>
      <c r="N91" s="220" t="s">
        <v>314</v>
      </c>
      <c r="O91" s="191">
        <f>D81</f>
        <v>27.222302419059307</v>
      </c>
      <c r="P91" s="191">
        <f t="shared" ref="P91:W91" si="57">E81</f>
        <v>23.819514616676891</v>
      </c>
      <c r="Q91" s="191">
        <f t="shared" si="57"/>
        <v>20.416726814294481</v>
      </c>
      <c r="R91" s="191">
        <f t="shared" si="57"/>
        <v>13.858626686066556</v>
      </c>
      <c r="S91" s="191">
        <f t="shared" si="57"/>
        <v>12.126298350308236</v>
      </c>
      <c r="T91" s="191">
        <f t="shared" si="57"/>
        <v>10.393970014549918</v>
      </c>
      <c r="U91" s="191">
        <f t="shared" si="57"/>
        <v>22.767743841395053</v>
      </c>
      <c r="V91" s="191">
        <f t="shared" si="57"/>
        <v>19.92177586122067</v>
      </c>
      <c r="W91" s="191">
        <f t="shared" si="57"/>
        <v>17.075807881046288</v>
      </c>
      <c r="Y91" s="220" t="s">
        <v>314</v>
      </c>
      <c r="Z91" s="191">
        <f t="shared" si="53"/>
        <v>6.049400537568733</v>
      </c>
      <c r="AA91" s="191">
        <f t="shared" si="53"/>
        <v>9.4521883399511495</v>
      </c>
      <c r="AB91" s="191">
        <f t="shared" si="53"/>
        <v>12.854976142333559</v>
      </c>
      <c r="AC91" s="191">
        <f t="shared" si="53"/>
        <v>3.0796948191258995</v>
      </c>
      <c r="AD91" s="191">
        <f t="shared" si="53"/>
        <v>4.8120231548842192</v>
      </c>
      <c r="AE91" s="191">
        <f t="shared" si="53"/>
        <v>6.5443514906425371</v>
      </c>
      <c r="AF91" s="229">
        <f t="shared" si="53"/>
        <v>5.0594986314211212</v>
      </c>
      <c r="AG91" s="229">
        <f t="shared" si="53"/>
        <v>7.9054666115955037</v>
      </c>
      <c r="AH91" s="229">
        <f t="shared" si="53"/>
        <v>10.751434591769886</v>
      </c>
    </row>
    <row r="92" spans="2:34" s="217" customFormat="1" ht="14.25" thickTop="1" thickBot="1">
      <c r="B92" s="214"/>
      <c r="C92" s="220" t="s">
        <v>303</v>
      </c>
      <c r="D92" s="191">
        <f>D50</f>
        <v>6601.699596800001</v>
      </c>
      <c r="E92" s="191">
        <f t="shared" ref="E92:L92" si="58">E50</f>
        <v>6601.699596800001</v>
      </c>
      <c r="F92" s="191">
        <f t="shared" si="58"/>
        <v>6601.699596800001</v>
      </c>
      <c r="G92" s="191">
        <f t="shared" si="58"/>
        <v>3360.8652492800006</v>
      </c>
      <c r="H92" s="191">
        <f t="shared" si="58"/>
        <v>3360.8652492800006</v>
      </c>
      <c r="I92" s="191">
        <f t="shared" si="58"/>
        <v>3360.8652492800006</v>
      </c>
      <c r="J92" s="191">
        <f t="shared" si="58"/>
        <v>5521.4214809599998</v>
      </c>
      <c r="K92" s="191">
        <f t="shared" si="58"/>
        <v>5521.4214809599998</v>
      </c>
      <c r="L92" s="191">
        <f t="shared" si="58"/>
        <v>5521.4214809599998</v>
      </c>
      <c r="N92" s="220" t="s">
        <v>303</v>
      </c>
      <c r="O92" s="191">
        <f>D51</f>
        <v>5578.727616000001</v>
      </c>
      <c r="P92" s="191">
        <f t="shared" ref="P92:W92" si="59">E51</f>
        <v>4968.6697368000014</v>
      </c>
      <c r="Q92" s="191">
        <f t="shared" si="59"/>
        <v>4333.6738368000015</v>
      </c>
      <c r="R92" s="191">
        <f t="shared" si="59"/>
        <v>2840.0795136000006</v>
      </c>
      <c r="S92" s="191">
        <f t="shared" si="59"/>
        <v>2529.5045932800008</v>
      </c>
      <c r="T92" s="191">
        <f t="shared" si="59"/>
        <v>2206.2339532800011</v>
      </c>
      <c r="U92" s="191">
        <f t="shared" si="59"/>
        <v>4665.8449152000003</v>
      </c>
      <c r="V92" s="191">
        <f t="shared" si="59"/>
        <v>4155.6146889600004</v>
      </c>
      <c r="W92" s="191">
        <f t="shared" si="59"/>
        <v>3624.5272089600003</v>
      </c>
      <c r="Y92" s="220" t="s">
        <v>303</v>
      </c>
      <c r="Z92" s="191">
        <f t="shared" si="53"/>
        <v>1022.9719808</v>
      </c>
      <c r="AA92" s="191">
        <f t="shared" si="53"/>
        <v>1633.0298599999996</v>
      </c>
      <c r="AB92" s="191">
        <f t="shared" si="53"/>
        <v>2268.0257599999995</v>
      </c>
      <c r="AC92" s="191">
        <f t="shared" si="53"/>
        <v>520.78573568000002</v>
      </c>
      <c r="AD92" s="191">
        <f t="shared" si="53"/>
        <v>831.36065599999984</v>
      </c>
      <c r="AE92" s="191">
        <f t="shared" si="53"/>
        <v>1154.6312959999996</v>
      </c>
      <c r="AF92" s="229">
        <f t="shared" si="53"/>
        <v>855.57656575999954</v>
      </c>
      <c r="AG92" s="229">
        <f t="shared" si="53"/>
        <v>1365.8067919999994</v>
      </c>
      <c r="AH92" s="229">
        <f t="shared" si="53"/>
        <v>1896.8942719999995</v>
      </c>
    </row>
    <row r="93" spans="2:34" s="217" customFormat="1" ht="14.25" thickTop="1" thickBot="1">
      <c r="B93" s="214"/>
      <c r="C93" s="220" t="s">
        <v>315</v>
      </c>
      <c r="D93" s="191">
        <f>D55</f>
        <v>495127.46976000007</v>
      </c>
      <c r="E93" s="191">
        <f t="shared" ref="E93:L93" si="60">E55</f>
        <v>495127.46976000007</v>
      </c>
      <c r="F93" s="191">
        <f t="shared" si="60"/>
        <v>495127.46976000007</v>
      </c>
      <c r="G93" s="191">
        <f t="shared" si="60"/>
        <v>252064.89369600004</v>
      </c>
      <c r="H93" s="191">
        <f t="shared" si="60"/>
        <v>252064.89369600004</v>
      </c>
      <c r="I93" s="191">
        <f t="shared" si="60"/>
        <v>252064.89369600004</v>
      </c>
      <c r="J93" s="191">
        <f t="shared" si="60"/>
        <v>414106.611072</v>
      </c>
      <c r="K93" s="191">
        <f t="shared" si="60"/>
        <v>414106.611072</v>
      </c>
      <c r="L93" s="191">
        <f t="shared" si="60"/>
        <v>414106.611072</v>
      </c>
      <c r="N93" s="220" t="s">
        <v>315</v>
      </c>
      <c r="O93" s="191">
        <f>D56</f>
        <v>418404.57120000006</v>
      </c>
      <c r="P93" s="191">
        <f t="shared" ref="P93:W93" si="61">E56</f>
        <v>372650.2302600001</v>
      </c>
      <c r="Q93" s="191">
        <f t="shared" si="61"/>
        <v>325025.53776000009</v>
      </c>
      <c r="R93" s="191">
        <f t="shared" si="61"/>
        <v>213005.96352000005</v>
      </c>
      <c r="S93" s="191">
        <f t="shared" si="61"/>
        <v>189712.84449600006</v>
      </c>
      <c r="T93" s="191">
        <f t="shared" si="61"/>
        <v>165467.54649600008</v>
      </c>
      <c r="U93" s="191">
        <f t="shared" si="61"/>
        <v>349938.36864</v>
      </c>
      <c r="V93" s="191">
        <f t="shared" si="61"/>
        <v>311671.10167200002</v>
      </c>
      <c r="W93" s="191">
        <f t="shared" si="61"/>
        <v>271839.54067200003</v>
      </c>
      <c r="Y93" s="220" t="s">
        <v>315</v>
      </c>
      <c r="Z93" s="191">
        <f t="shared" si="53"/>
        <v>76722.898560000001</v>
      </c>
      <c r="AA93" s="191">
        <f t="shared" si="53"/>
        <v>122477.23949999997</v>
      </c>
      <c r="AB93" s="191">
        <f t="shared" si="53"/>
        <v>170101.93199999997</v>
      </c>
      <c r="AC93" s="191">
        <f t="shared" si="53"/>
        <v>39058.930175999994</v>
      </c>
      <c r="AD93" s="191">
        <f t="shared" si="53"/>
        <v>62352.049199999979</v>
      </c>
      <c r="AE93" s="191">
        <f t="shared" si="53"/>
        <v>86597.34719999996</v>
      </c>
      <c r="AF93" s="229">
        <f t="shared" si="53"/>
        <v>64168.242431999999</v>
      </c>
      <c r="AG93" s="229">
        <f t="shared" si="53"/>
        <v>102435.50939999998</v>
      </c>
      <c r="AH93" s="229">
        <f t="shared" si="53"/>
        <v>142267.07039999997</v>
      </c>
    </row>
    <row r="94" spans="2:34" s="217" customFormat="1" ht="27" thickTop="1" thickBot="1">
      <c r="B94" s="214"/>
      <c r="C94" s="220" t="s">
        <v>316</v>
      </c>
      <c r="D94" s="191">
        <f>D60</f>
        <v>1234.5952935254402</v>
      </c>
      <c r="E94" s="191">
        <f t="shared" ref="E94:L94" si="62">E60</f>
        <v>1234.5952935254402</v>
      </c>
      <c r="F94" s="191">
        <f t="shared" si="62"/>
        <v>1234.5952935254402</v>
      </c>
      <c r="G94" s="191">
        <f t="shared" si="62"/>
        <v>628.52124034022415</v>
      </c>
      <c r="H94" s="191">
        <f t="shared" si="62"/>
        <v>628.52124034022415</v>
      </c>
      <c r="I94" s="191">
        <f t="shared" si="62"/>
        <v>628.52124034022415</v>
      </c>
      <c r="J94" s="191">
        <f t="shared" si="62"/>
        <v>1032.570609130368</v>
      </c>
      <c r="K94" s="191">
        <f t="shared" si="62"/>
        <v>1032.570609130368</v>
      </c>
      <c r="L94" s="191">
        <f t="shared" si="62"/>
        <v>1032.570609130368</v>
      </c>
      <c r="N94" s="220" t="s">
        <v>316</v>
      </c>
      <c r="O94" s="191">
        <f>D61</f>
        <v>1043.2875288528003</v>
      </c>
      <c r="P94" s="191">
        <f t="shared" ref="P94:W94" si="63">E61</f>
        <v>929.19954659994028</v>
      </c>
      <c r="Q94" s="191">
        <f t="shared" si="63"/>
        <v>810.4478618174403</v>
      </c>
      <c r="R94" s="191">
        <f t="shared" si="63"/>
        <v>531.12819650688016</v>
      </c>
      <c r="S94" s="191">
        <f t="shared" si="63"/>
        <v>473.04704190542418</v>
      </c>
      <c r="T94" s="191">
        <f t="shared" si="63"/>
        <v>412.5916387434242</v>
      </c>
      <c r="U94" s="191">
        <f t="shared" si="63"/>
        <v>872.56775140416005</v>
      </c>
      <c r="V94" s="191">
        <f t="shared" si="63"/>
        <v>777.14871170176809</v>
      </c>
      <c r="W94" s="191">
        <f t="shared" si="63"/>
        <v>677.82912079276809</v>
      </c>
      <c r="Y94" s="220" t="s">
        <v>316</v>
      </c>
      <c r="Z94" s="191">
        <f t="shared" si="53"/>
        <v>191.30776467263991</v>
      </c>
      <c r="AA94" s="191">
        <f t="shared" si="53"/>
        <v>305.39574692549991</v>
      </c>
      <c r="AB94" s="191">
        <f t="shared" si="53"/>
        <v>424.14743170799989</v>
      </c>
      <c r="AC94" s="191">
        <f t="shared" si="53"/>
        <v>97.393043833343995</v>
      </c>
      <c r="AD94" s="191">
        <f t="shared" si="53"/>
        <v>155.47419843479997</v>
      </c>
      <c r="AE94" s="191">
        <f t="shared" si="53"/>
        <v>215.92960159679996</v>
      </c>
      <c r="AF94" s="191">
        <f t="shared" si="53"/>
        <v>160.00285772620794</v>
      </c>
      <c r="AG94" s="191">
        <f t="shared" si="53"/>
        <v>255.42189742859989</v>
      </c>
      <c r="AH94" s="191">
        <f>L94-W94</f>
        <v>354.74148833759989</v>
      </c>
    </row>
    <row r="95" spans="2:34" s="217" customFormat="1" ht="27" thickTop="1" thickBot="1">
      <c r="B95" s="214"/>
      <c r="C95" s="220" t="s">
        <v>306</v>
      </c>
      <c r="D95" s="191">
        <f>D65</f>
        <v>55.058174637312007</v>
      </c>
      <c r="E95" s="191">
        <f t="shared" ref="E95:L95" si="64">E65</f>
        <v>55.058174637312007</v>
      </c>
      <c r="F95" s="191">
        <f t="shared" si="64"/>
        <v>55.058174637312007</v>
      </c>
      <c r="G95" s="191">
        <f t="shared" si="64"/>
        <v>28.029616178995202</v>
      </c>
      <c r="H95" s="191">
        <f t="shared" si="64"/>
        <v>28.029616178995202</v>
      </c>
      <c r="I95" s="191">
        <f t="shared" si="64"/>
        <v>28.029616178995202</v>
      </c>
      <c r="J95" s="191">
        <f t="shared" si="64"/>
        <v>46.048655151206397</v>
      </c>
      <c r="K95" s="191">
        <f t="shared" si="64"/>
        <v>46.048655151206397</v>
      </c>
      <c r="L95" s="191">
        <f t="shared" si="64"/>
        <v>46.048655151206397</v>
      </c>
      <c r="N95" s="220" t="s">
        <v>306</v>
      </c>
      <c r="O95" s="191">
        <f>D66</f>
        <v>46.526588317440002</v>
      </c>
      <c r="P95" s="191">
        <f t="shared" ref="P95:W95" si="65">E66</f>
        <v>41.438705604912009</v>
      </c>
      <c r="Q95" s="191">
        <f t="shared" si="65"/>
        <v>36.142839798912007</v>
      </c>
      <c r="R95" s="191">
        <f t="shared" si="65"/>
        <v>23.686263143424004</v>
      </c>
      <c r="S95" s="191">
        <f t="shared" si="65"/>
        <v>21.096068307955207</v>
      </c>
      <c r="T95" s="191">
        <f t="shared" si="65"/>
        <v>18.399991170355207</v>
      </c>
      <c r="U95" s="191">
        <f t="shared" si="65"/>
        <v>38.913146592767994</v>
      </c>
      <c r="V95" s="191">
        <f t="shared" si="65"/>
        <v>34.657826505926401</v>
      </c>
      <c r="W95" s="191">
        <f t="shared" si="65"/>
        <v>30.228556922726401</v>
      </c>
      <c r="Y95" s="220" t="s">
        <v>306</v>
      </c>
      <c r="Z95" s="191">
        <f t="shared" si="53"/>
        <v>8.5315863198720052</v>
      </c>
      <c r="AA95" s="191">
        <f t="shared" si="53"/>
        <v>13.619469032399998</v>
      </c>
      <c r="AB95" s="191">
        <f t="shared" si="53"/>
        <v>18.9153348384</v>
      </c>
      <c r="AC95" s="191">
        <f t="shared" si="53"/>
        <v>4.343353035571198</v>
      </c>
      <c r="AD95" s="191">
        <f t="shared" si="53"/>
        <v>6.9335478710399947</v>
      </c>
      <c r="AE95" s="191">
        <f t="shared" si="53"/>
        <v>9.6296250086399944</v>
      </c>
      <c r="AF95" s="191">
        <f t="shared" si="53"/>
        <v>7.1355085584384028</v>
      </c>
      <c r="AG95" s="191">
        <f t="shared" si="53"/>
        <v>11.390828645279996</v>
      </c>
      <c r="AH95" s="191">
        <f t="shared" si="53"/>
        <v>15.820098228479996</v>
      </c>
    </row>
    <row r="96" spans="2:34" s="217" customFormat="1" ht="33.75" customHeight="1" thickTop="1" thickBot="1">
      <c r="B96" s="214"/>
      <c r="C96" s="220" t="s">
        <v>317</v>
      </c>
      <c r="D96" s="191">
        <f>D70</f>
        <v>681.49660202604309</v>
      </c>
      <c r="E96" s="191">
        <f t="shared" ref="E96:L96" si="66">E70</f>
        <v>681.49660202604309</v>
      </c>
      <c r="F96" s="191">
        <f t="shared" si="66"/>
        <v>681.49660202604309</v>
      </c>
      <c r="G96" s="191">
        <f t="shared" si="66"/>
        <v>346.94372466780374</v>
      </c>
      <c r="H96" s="191">
        <f t="shared" si="66"/>
        <v>346.94372466780374</v>
      </c>
      <c r="I96" s="191">
        <f t="shared" si="66"/>
        <v>346.94372466780374</v>
      </c>
      <c r="J96" s="191">
        <f t="shared" si="66"/>
        <v>569.97897623996323</v>
      </c>
      <c r="K96" s="191">
        <f t="shared" si="66"/>
        <v>569.97897623996323</v>
      </c>
      <c r="L96" s="191">
        <f t="shared" si="66"/>
        <v>569.97897623996323</v>
      </c>
      <c r="N96" s="220" t="s">
        <v>317</v>
      </c>
      <c r="O96" s="191">
        <f>D71</f>
        <v>575.89471592674579</v>
      </c>
      <c r="P96" s="191">
        <f t="shared" ref="P96:W96" si="67">E71</f>
        <v>512.91814972316706</v>
      </c>
      <c r="Q96" s="191">
        <f t="shared" si="67"/>
        <v>447.36721972322709</v>
      </c>
      <c r="R96" s="191">
        <f t="shared" si="67"/>
        <v>293.1827644717979</v>
      </c>
      <c r="S96" s="191">
        <f t="shared" si="67"/>
        <v>261.12196713179418</v>
      </c>
      <c r="T96" s="191">
        <f t="shared" si="67"/>
        <v>227.75058458637017</v>
      </c>
      <c r="U96" s="191">
        <f t="shared" si="67"/>
        <v>481.6573987750964</v>
      </c>
      <c r="V96" s="191">
        <f t="shared" si="67"/>
        <v>428.98608885937603</v>
      </c>
      <c r="W96" s="191">
        <f t="shared" si="67"/>
        <v>374.161674677608</v>
      </c>
      <c r="Y96" s="220" t="s">
        <v>317</v>
      </c>
      <c r="Z96" s="191">
        <f t="shared" si="53"/>
        <v>105.6018860992973</v>
      </c>
      <c r="AA96" s="191">
        <f t="shared" si="53"/>
        <v>168.57845230287603</v>
      </c>
      <c r="AB96" s="191">
        <f t="shared" si="53"/>
        <v>234.129382302816</v>
      </c>
      <c r="AC96" s="191">
        <f t="shared" si="53"/>
        <v>53.76096019600584</v>
      </c>
      <c r="AD96" s="191">
        <f t="shared" si="53"/>
        <v>85.821757536009557</v>
      </c>
      <c r="AE96" s="191">
        <f t="shared" si="53"/>
        <v>119.19314008143357</v>
      </c>
      <c r="AF96" s="229">
        <f t="shared" si="53"/>
        <v>88.321577464866834</v>
      </c>
      <c r="AG96" s="229">
        <f t="shared" si="53"/>
        <v>140.99288738058721</v>
      </c>
      <c r="AH96" s="229">
        <f t="shared" si="53"/>
        <v>195.81730156235523</v>
      </c>
    </row>
    <row r="97" spans="2:34" s="217" customFormat="1" ht="27" thickTop="1" thickBot="1">
      <c r="B97" s="214"/>
      <c r="C97" s="220" t="s">
        <v>309</v>
      </c>
      <c r="D97" s="191">
        <f>D75</f>
        <v>24.666062237515778</v>
      </c>
      <c r="E97" s="191">
        <f t="shared" ref="E97:L97" si="68">E75</f>
        <v>24.666062237515778</v>
      </c>
      <c r="F97" s="191">
        <f t="shared" si="68"/>
        <v>24.666062237515778</v>
      </c>
      <c r="G97" s="191">
        <f t="shared" si="68"/>
        <v>12.557268048189849</v>
      </c>
      <c r="H97" s="191">
        <f t="shared" si="68"/>
        <v>12.557268048189849</v>
      </c>
      <c r="I97" s="191">
        <f t="shared" si="68"/>
        <v>12.557268048189849</v>
      </c>
      <c r="J97" s="191">
        <f t="shared" si="68"/>
        <v>20.629797507740463</v>
      </c>
      <c r="K97" s="191">
        <f t="shared" si="68"/>
        <v>20.629797507740463</v>
      </c>
      <c r="L97" s="191">
        <f t="shared" si="68"/>
        <v>20.629797507740463</v>
      </c>
      <c r="N97" s="220" t="s">
        <v>309</v>
      </c>
      <c r="O97" s="191">
        <f>D76</f>
        <v>20.843911566213119</v>
      </c>
      <c r="P97" s="191">
        <f t="shared" ref="P97:W97" si="69">E76</f>
        <v>18.564540111000579</v>
      </c>
      <c r="Q97" s="191">
        <f t="shared" si="69"/>
        <v>16.191992229912579</v>
      </c>
      <c r="R97" s="191">
        <f t="shared" si="69"/>
        <v>10.611445888253952</v>
      </c>
      <c r="S97" s="191">
        <f t="shared" si="69"/>
        <v>9.4510386019639316</v>
      </c>
      <c r="T97" s="191">
        <f t="shared" si="69"/>
        <v>8.2431960443191326</v>
      </c>
      <c r="U97" s="191">
        <f t="shared" si="69"/>
        <v>17.433089673560058</v>
      </c>
      <c r="V97" s="191">
        <f t="shared" si="69"/>
        <v>15.526706274655027</v>
      </c>
      <c r="W97" s="191">
        <f t="shared" si="69"/>
        <v>13.542393501381426</v>
      </c>
      <c r="Y97" s="220" t="s">
        <v>309</v>
      </c>
      <c r="Z97" s="191">
        <f t="shared" si="53"/>
        <v>3.8221506713026585</v>
      </c>
      <c r="AA97" s="191">
        <f t="shared" si="53"/>
        <v>6.1015221265151993</v>
      </c>
      <c r="AB97" s="191">
        <f t="shared" si="53"/>
        <v>8.4740700076031992</v>
      </c>
      <c r="AC97" s="191">
        <f t="shared" si="53"/>
        <v>1.9458221599358971</v>
      </c>
      <c r="AD97" s="191">
        <f t="shared" si="53"/>
        <v>3.1062294462259175</v>
      </c>
      <c r="AE97" s="191">
        <f t="shared" si="53"/>
        <v>4.3140720038707165</v>
      </c>
      <c r="AF97" s="229">
        <f t="shared" si="53"/>
        <v>3.1967078341804047</v>
      </c>
      <c r="AG97" s="229">
        <f t="shared" si="53"/>
        <v>5.1030912330854363</v>
      </c>
      <c r="AH97" s="229">
        <f>L97-W97</f>
        <v>7.0874040063590371</v>
      </c>
    </row>
    <row r="98" spans="2:34" s="217" customFormat="1" ht="15.75" thickTop="1">
      <c r="B98" s="214"/>
      <c r="C98" s="215"/>
      <c r="D98" s="216"/>
      <c r="E98" s="216"/>
      <c r="F98" s="216"/>
      <c r="G98" s="216"/>
      <c r="H98" s="216"/>
      <c r="I98" s="216"/>
      <c r="J98" s="216"/>
      <c r="K98" s="216"/>
      <c r="L98" s="216"/>
    </row>
    <row r="99" spans="2:34">
      <c r="M99" s="175"/>
      <c r="X99" s="175"/>
    </row>
    <row r="101" spans="2:34">
      <c r="C101" s="176" t="s">
        <v>159</v>
      </c>
    </row>
    <row r="102" spans="2:34">
      <c r="C102" s="223" t="s">
        <v>318</v>
      </c>
      <c r="D102" s="225" t="s">
        <v>319</v>
      </c>
      <c r="E102" s="225" t="s">
        <v>320</v>
      </c>
      <c r="F102" s="225" t="s">
        <v>321</v>
      </c>
      <c r="G102"/>
      <c r="H102"/>
      <c r="I102"/>
    </row>
    <row r="103" spans="2:34">
      <c r="C103" s="222" t="s">
        <v>9</v>
      </c>
      <c r="D103" s="224">
        <v>10</v>
      </c>
      <c r="E103" s="224">
        <v>10</v>
      </c>
      <c r="F103" s="224">
        <v>10</v>
      </c>
      <c r="G103"/>
      <c r="H103"/>
      <c r="I103"/>
    </row>
    <row r="104" spans="2:34" ht="31.5" customHeight="1">
      <c r="C104" s="226" t="s">
        <v>10</v>
      </c>
      <c r="D104" s="227">
        <f>'SF Input Assumptions'!$C$55</f>
        <v>25.872</v>
      </c>
      <c r="E104" s="227">
        <f>'SF Input Assumptions'!$C$55</f>
        <v>25.872</v>
      </c>
      <c r="F104" s="227">
        <f>'SF Input Assumptions'!$C$55</f>
        <v>25.872</v>
      </c>
      <c r="G104"/>
      <c r="H104"/>
      <c r="I104"/>
    </row>
    <row r="105" spans="2:34">
      <c r="C105" s="222" t="s">
        <v>11</v>
      </c>
      <c r="D105" s="224">
        <v>0</v>
      </c>
      <c r="E105" s="224">
        <v>0</v>
      </c>
      <c r="F105" s="224">
        <v>0</v>
      </c>
      <c r="G105"/>
      <c r="H105"/>
      <c r="I105"/>
    </row>
    <row r="106" spans="2:34">
      <c r="C106" s="222" t="s">
        <v>12</v>
      </c>
      <c r="D106" s="224" t="s">
        <v>52</v>
      </c>
      <c r="E106" s="224" t="s">
        <v>52</v>
      </c>
      <c r="F106" s="224" t="s">
        <v>52</v>
      </c>
      <c r="G106"/>
      <c r="H106"/>
      <c r="I106"/>
    </row>
    <row r="107" spans="2:34">
      <c r="C107" s="222" t="s">
        <v>13</v>
      </c>
      <c r="D107" s="228">
        <f>J91</f>
        <v>27.827242472816174</v>
      </c>
      <c r="E107" s="228">
        <f>K91</f>
        <v>27.827242472816174</v>
      </c>
      <c r="F107" s="228">
        <f>L91</f>
        <v>27.827242472816174</v>
      </c>
      <c r="G107"/>
      <c r="H107"/>
      <c r="I107"/>
    </row>
    <row r="108" spans="2:34">
      <c r="C108" s="222" t="s">
        <v>14</v>
      </c>
      <c r="D108" s="225">
        <v>0</v>
      </c>
      <c r="E108" s="225">
        <v>0</v>
      </c>
      <c r="F108" s="225">
        <v>0</v>
      </c>
      <c r="G108"/>
      <c r="H108"/>
      <c r="I108"/>
    </row>
    <row r="109" spans="2:34">
      <c r="C109" s="222" t="s">
        <v>15</v>
      </c>
      <c r="D109" s="225">
        <v>0</v>
      </c>
      <c r="E109" s="225">
        <v>0</v>
      </c>
      <c r="F109" s="225">
        <v>0</v>
      </c>
      <c r="G109"/>
      <c r="H109"/>
      <c r="I109"/>
    </row>
    <row r="110" spans="2:34">
      <c r="C110" s="222" t="s">
        <v>16</v>
      </c>
      <c r="D110" s="225">
        <v>0</v>
      </c>
      <c r="E110" s="225">
        <v>0</v>
      </c>
      <c r="F110" s="225">
        <v>0</v>
      </c>
      <c r="G110"/>
      <c r="H110"/>
      <c r="I110"/>
    </row>
    <row r="111" spans="2:34">
      <c r="C111" s="222" t="s">
        <v>17</v>
      </c>
      <c r="D111" s="225">
        <v>0</v>
      </c>
      <c r="E111" s="225">
        <v>0</v>
      </c>
      <c r="F111" s="225">
        <v>0</v>
      </c>
      <c r="G111"/>
      <c r="H111"/>
      <c r="I111"/>
    </row>
    <row r="112" spans="2:34">
      <c r="C112" s="222" t="s">
        <v>18</v>
      </c>
      <c r="D112" s="225">
        <v>0</v>
      </c>
      <c r="E112" s="225">
        <v>0</v>
      </c>
      <c r="F112" s="225">
        <v>0</v>
      </c>
      <c r="G112"/>
      <c r="H112"/>
      <c r="I112"/>
    </row>
    <row r="113" spans="3:9">
      <c r="C113" s="222" t="s">
        <v>19</v>
      </c>
      <c r="D113" s="225">
        <v>0</v>
      </c>
      <c r="E113" s="225">
        <v>0</v>
      </c>
      <c r="F113" s="225">
        <v>0</v>
      </c>
      <c r="G113"/>
      <c r="H113"/>
      <c r="I113"/>
    </row>
  </sheetData>
  <mergeCells count="22">
    <mergeCell ref="U9:W9"/>
    <mergeCell ref="D9:F9"/>
    <mergeCell ref="G9:I9"/>
    <mergeCell ref="J9:L9"/>
    <mergeCell ref="O9:Q9"/>
    <mergeCell ref="R9:T9"/>
    <mergeCell ref="AB27:AM29"/>
    <mergeCell ref="D37:F37"/>
    <mergeCell ref="G37:I37"/>
    <mergeCell ref="J37:L37"/>
    <mergeCell ref="BL42:BT47"/>
    <mergeCell ref="AC46:AK50"/>
    <mergeCell ref="AU67:BD73"/>
    <mergeCell ref="D87:F87"/>
    <mergeCell ref="G87:I87"/>
    <mergeCell ref="J87:L87"/>
    <mergeCell ref="O87:Q87"/>
    <mergeCell ref="R87:T87"/>
    <mergeCell ref="U87:W87"/>
    <mergeCell ref="Z87:AB87"/>
    <mergeCell ref="AC87:AE87"/>
    <mergeCell ref="AF87:AH87"/>
  </mergeCells>
  <hyperlinks>
    <hyperlink ref="I7" location="'Residential Analysis'!A1" display="back to top"/>
    <hyperlink ref="I35" location="'Residential Analysis'!A1" display="back to top"/>
    <hyperlink ref="I85" location="'Residential Analysis'!A1" display="back to top"/>
    <hyperlink ref="B3" location="ResAnalyses" display="Baseline Analyses"/>
    <hyperlink ref="B4" location="ResConsumptionAndGrossSavings" display="Consumption and Gross Savings"/>
    <hyperlink ref="B5" location="ResSummaryConsumptionAndGrossSavings" display="ResSummaryConsumptionAndGrossSavings"/>
  </hyperlink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sheetPr>
    <tabColor theme="6" tint="0.39997558519241921"/>
  </sheetPr>
  <dimension ref="A1:BW113"/>
  <sheetViews>
    <sheetView zoomScale="70" zoomScaleNormal="70" workbookViewId="0">
      <selection activeCell="C14" sqref="C14"/>
    </sheetView>
  </sheetViews>
  <sheetFormatPr defaultRowHeight="12.75"/>
  <cols>
    <col min="1" max="1" width="9.140625" style="176"/>
    <col min="2" max="2" width="14.7109375" style="175" customWidth="1"/>
    <col min="3" max="3" width="37.7109375" style="176" customWidth="1"/>
    <col min="4" max="4" width="30.28515625" style="176" customWidth="1"/>
    <col min="5" max="12" width="9.42578125" style="176" customWidth="1"/>
    <col min="13" max="13" width="9.140625" style="176"/>
    <col min="14" max="14" width="37.7109375" style="176" customWidth="1"/>
    <col min="15" max="23" width="9.42578125" style="176" customWidth="1"/>
    <col min="24" max="24" width="9.140625" style="176"/>
    <col min="25" max="25" width="37.7109375" style="176" customWidth="1"/>
    <col min="26" max="34" width="9.42578125" style="176" customWidth="1"/>
    <col min="35" max="43" width="9.140625" style="176"/>
    <col min="44" max="44" width="5.140625" style="176" customWidth="1"/>
    <col min="45" max="45" width="15.140625" style="176" customWidth="1"/>
    <col min="46" max="16384" width="9.140625" style="176"/>
  </cols>
  <sheetData>
    <row r="1" spans="1:75">
      <c r="A1" s="174" t="s">
        <v>264</v>
      </c>
    </row>
    <row r="2" spans="1:75" ht="15">
      <c r="B2" s="99" t="s">
        <v>204</v>
      </c>
      <c r="C2" s="100"/>
      <c r="D2" s="100"/>
      <c r="E2" s="100"/>
    </row>
    <row r="3" spans="1:75" ht="15">
      <c r="B3" s="104" t="e">
        <f>ResAnalyses</f>
        <v>#NAME?</v>
      </c>
      <c r="C3" s="105"/>
      <c r="D3" s="105"/>
      <c r="E3" s="105"/>
    </row>
    <row r="4" spans="1:75" ht="15">
      <c r="B4" s="104" t="e">
        <f>ResConsumptionAndGrossSavings</f>
        <v>#NAME?</v>
      </c>
      <c r="C4" s="105"/>
      <c r="D4" s="105"/>
      <c r="E4" s="105"/>
    </row>
    <row r="5" spans="1:75" ht="15">
      <c r="B5" s="104" t="e">
        <f>ResSummaryConsumptionAndGrossSavings</f>
        <v>#NAME?</v>
      </c>
      <c r="C5" s="105"/>
      <c r="D5" s="105"/>
      <c r="E5" s="105"/>
    </row>
    <row r="7" spans="1:75">
      <c r="B7" s="177" t="s">
        <v>265</v>
      </c>
      <c r="C7" s="178"/>
      <c r="D7" s="178"/>
      <c r="E7" s="178"/>
      <c r="F7" s="178"/>
      <c r="G7" s="178"/>
      <c r="H7" s="178"/>
      <c r="I7" s="120" t="s">
        <v>211</v>
      </c>
      <c r="J7" s="178"/>
      <c r="K7" s="178"/>
      <c r="L7" s="178"/>
    </row>
    <row r="8" spans="1:75" ht="13.5" thickBot="1">
      <c r="C8" s="179" t="s">
        <v>266</v>
      </c>
      <c r="D8" s="180"/>
      <c r="E8" s="180"/>
      <c r="F8" s="180"/>
      <c r="G8" s="180"/>
      <c r="H8" s="180"/>
      <c r="I8" s="180"/>
      <c r="J8" s="181"/>
      <c r="K8" s="180"/>
      <c r="L8" s="180"/>
      <c r="N8" s="179" t="s">
        <v>267</v>
      </c>
      <c r="O8" s="180"/>
      <c r="P8" s="180"/>
      <c r="Q8" s="180"/>
      <c r="R8" s="180"/>
      <c r="S8" s="180"/>
      <c r="T8" s="180"/>
      <c r="U8" s="181"/>
      <c r="V8" s="180"/>
      <c r="W8" s="180"/>
    </row>
    <row r="9" spans="1:75" ht="16.5" customHeight="1" thickTop="1" thickBot="1">
      <c r="C9" s="182" t="s">
        <v>268</v>
      </c>
      <c r="D9" s="344" t="s">
        <v>269</v>
      </c>
      <c r="E9" s="344"/>
      <c r="F9" s="344"/>
      <c r="G9" s="344" t="s">
        <v>270</v>
      </c>
      <c r="H9" s="344"/>
      <c r="I9" s="344"/>
      <c r="J9" s="344" t="s">
        <v>271</v>
      </c>
      <c r="K9" s="344"/>
      <c r="L9" s="344"/>
      <c r="N9" s="182" t="s">
        <v>268</v>
      </c>
      <c r="O9" s="344" t="str">
        <f>$D$9</f>
        <v>Primary Shower</v>
      </c>
      <c r="P9" s="344"/>
      <c r="Q9" s="344"/>
      <c r="R9" s="344" t="str">
        <f>$G$9</f>
        <v>Secondary Shower</v>
      </c>
      <c r="S9" s="344"/>
      <c r="T9" s="344"/>
      <c r="U9" s="344" t="str">
        <f>$J$9</f>
        <v>Any Shower</v>
      </c>
      <c r="V9" s="344"/>
      <c r="W9" s="344"/>
      <c r="AR9" s="183"/>
      <c r="AS9" s="184"/>
      <c r="AT9" s="184"/>
      <c r="AU9" s="184"/>
      <c r="AV9" s="184"/>
      <c r="AW9" s="184"/>
      <c r="AX9" s="184"/>
      <c r="AY9" s="184"/>
      <c r="AZ9" s="184"/>
      <c r="BA9" s="184"/>
      <c r="BB9" s="184"/>
      <c r="BC9" s="184"/>
      <c r="BD9" s="184"/>
      <c r="BE9" s="184"/>
      <c r="BF9" s="185"/>
    </row>
    <row r="10" spans="1:75" ht="31.5" customHeight="1" thickTop="1" thickBot="1">
      <c r="C10" s="182" t="s">
        <v>272</v>
      </c>
      <c r="D10" s="314" t="s">
        <v>273</v>
      </c>
      <c r="E10" s="314" t="s">
        <v>274</v>
      </c>
      <c r="F10" s="314" t="s">
        <v>275</v>
      </c>
      <c r="G10" s="314" t="s">
        <v>273</v>
      </c>
      <c r="H10" s="314" t="s">
        <v>274</v>
      </c>
      <c r="I10" s="314" t="s">
        <v>275</v>
      </c>
      <c r="J10" s="314" t="s">
        <v>273</v>
      </c>
      <c r="K10" s="314" t="s">
        <v>274</v>
      </c>
      <c r="L10" s="314" t="s">
        <v>275</v>
      </c>
      <c r="N10" s="182" t="s">
        <v>272</v>
      </c>
      <c r="O10" s="314" t="s">
        <v>273</v>
      </c>
      <c r="P10" s="314" t="s">
        <v>274</v>
      </c>
      <c r="Q10" s="314" t="s">
        <v>275</v>
      </c>
      <c r="R10" s="314" t="s">
        <v>273</v>
      </c>
      <c r="S10" s="314" t="s">
        <v>274</v>
      </c>
      <c r="T10" s="314" t="s">
        <v>275</v>
      </c>
      <c r="U10" s="314" t="s">
        <v>273</v>
      </c>
      <c r="V10" s="314" t="s">
        <v>274</v>
      </c>
      <c r="W10" s="314" t="s">
        <v>275</v>
      </c>
      <c r="Z10" s="183"/>
      <c r="AA10" s="184"/>
      <c r="AB10" s="184"/>
      <c r="AC10" s="184"/>
      <c r="AD10" s="184"/>
      <c r="AE10" s="184"/>
      <c r="AF10" s="184"/>
      <c r="AG10" s="184"/>
      <c r="AH10" s="184"/>
      <c r="AI10" s="184"/>
      <c r="AJ10" s="184"/>
      <c r="AK10" s="184"/>
      <c r="AL10" s="184"/>
      <c r="AM10" s="184"/>
      <c r="AN10" s="184"/>
      <c r="AO10" s="185"/>
      <c r="AR10" s="186"/>
      <c r="AS10" s="187"/>
      <c r="AT10" s="187"/>
      <c r="AU10" s="187"/>
      <c r="AV10" s="187"/>
      <c r="AW10" s="187"/>
      <c r="AX10" s="187"/>
      <c r="AY10" s="187"/>
      <c r="AZ10" s="187"/>
      <c r="BA10" s="187"/>
      <c r="BB10" s="187"/>
      <c r="BC10" s="187"/>
      <c r="BD10" s="187"/>
      <c r="BE10" s="187"/>
      <c r="BF10" s="188"/>
      <c r="BI10" s="183"/>
      <c r="BJ10" s="184"/>
      <c r="BK10" s="184"/>
      <c r="BL10" s="184"/>
      <c r="BM10" s="184"/>
      <c r="BN10" s="184"/>
      <c r="BO10" s="184"/>
      <c r="BP10" s="184"/>
      <c r="BQ10" s="184"/>
      <c r="BR10" s="184"/>
      <c r="BS10" s="184"/>
      <c r="BT10" s="184"/>
      <c r="BU10" s="184"/>
      <c r="BV10" s="184"/>
      <c r="BW10" s="185"/>
    </row>
    <row r="11" spans="1:75" ht="27" thickTop="1" thickBot="1">
      <c r="C11" s="189" t="s">
        <v>276</v>
      </c>
      <c r="D11" s="189">
        <v>0.55000000000000004</v>
      </c>
      <c r="E11" s="189">
        <v>0.55000000000000004</v>
      </c>
      <c r="F11" s="189">
        <v>0.55000000000000004</v>
      </c>
      <c r="G11" s="189">
        <v>0.28000000000000003</v>
      </c>
      <c r="H11" s="189">
        <v>0.28000000000000003</v>
      </c>
      <c r="I11" s="189">
        <v>0.28000000000000003</v>
      </c>
      <c r="J11" s="189">
        <v>0.46</v>
      </c>
      <c r="K11" s="189">
        <v>0.46</v>
      </c>
      <c r="L11" s="189">
        <v>0.46</v>
      </c>
      <c r="N11" s="189" t="s">
        <v>276</v>
      </c>
      <c r="O11" s="189">
        <v>0.55000000000000004</v>
      </c>
      <c r="P11" s="189">
        <v>0.55000000000000004</v>
      </c>
      <c r="Q11" s="189">
        <v>0.55000000000000004</v>
      </c>
      <c r="R11" s="189">
        <v>0.28000000000000003</v>
      </c>
      <c r="S11" s="189">
        <v>0.28000000000000003</v>
      </c>
      <c r="T11" s="189">
        <v>0.28000000000000003</v>
      </c>
      <c r="U11" s="189">
        <v>0.46</v>
      </c>
      <c r="V11" s="189">
        <v>0.46</v>
      </c>
      <c r="W11" s="189">
        <v>0.46</v>
      </c>
      <c r="Z11" s="186"/>
      <c r="AA11" s="187"/>
      <c r="AB11" s="187"/>
      <c r="AC11" s="187"/>
      <c r="AD11" s="187"/>
      <c r="AE11" s="187"/>
      <c r="AF11" s="187"/>
      <c r="AG11" s="187"/>
      <c r="AH11" s="187"/>
      <c r="AI11" s="187"/>
      <c r="AJ11" s="187"/>
      <c r="AK11" s="187"/>
      <c r="AL11" s="187"/>
      <c r="AM11" s="187"/>
      <c r="AN11" s="187"/>
      <c r="AO11" s="188"/>
      <c r="AR11" s="186"/>
      <c r="AS11" s="187"/>
      <c r="AT11" s="187"/>
      <c r="AU11" s="187"/>
      <c r="AV11" s="187"/>
      <c r="AW11" s="187"/>
      <c r="AX11" s="187"/>
      <c r="AY11" s="187"/>
      <c r="AZ11" s="187"/>
      <c r="BA11" s="187"/>
      <c r="BB11" s="187"/>
      <c r="BC11" s="187"/>
      <c r="BD11" s="187"/>
      <c r="BE11" s="187"/>
      <c r="BF11" s="188"/>
      <c r="BI11" s="186"/>
      <c r="BJ11" s="187"/>
      <c r="BK11" s="187"/>
      <c r="BL11" s="187"/>
      <c r="BM11" s="187"/>
      <c r="BN11" s="187"/>
      <c r="BO11" s="187"/>
      <c r="BP11" s="187"/>
      <c r="BQ11" s="187"/>
      <c r="BR11" s="187"/>
      <c r="BS11" s="187"/>
      <c r="BT11" s="187"/>
      <c r="BU11" s="187"/>
      <c r="BV11" s="187"/>
      <c r="BW11" s="188"/>
    </row>
    <row r="12" spans="1:75" ht="27" customHeight="1" thickTop="1" thickBot="1">
      <c r="C12" s="189" t="s">
        <v>277</v>
      </c>
      <c r="D12" s="189">
        <v>350</v>
      </c>
      <c r="E12" s="189">
        <v>350</v>
      </c>
      <c r="F12" s="189">
        <v>350</v>
      </c>
      <c r="G12" s="189">
        <v>350</v>
      </c>
      <c r="H12" s="189">
        <v>350</v>
      </c>
      <c r="I12" s="189">
        <v>350</v>
      </c>
      <c r="J12" s="189">
        <v>350</v>
      </c>
      <c r="K12" s="189">
        <v>350</v>
      </c>
      <c r="L12" s="189">
        <v>350</v>
      </c>
      <c r="N12" s="189" t="s">
        <v>277</v>
      </c>
      <c r="O12" s="189">
        <v>350</v>
      </c>
      <c r="P12" s="189">
        <v>350</v>
      </c>
      <c r="Q12" s="189">
        <v>350</v>
      </c>
      <c r="R12" s="189">
        <v>350</v>
      </c>
      <c r="S12" s="189">
        <v>350</v>
      </c>
      <c r="T12" s="189">
        <v>350</v>
      </c>
      <c r="U12" s="189">
        <v>350</v>
      </c>
      <c r="V12" s="189">
        <v>350</v>
      </c>
      <c r="W12" s="189">
        <v>350</v>
      </c>
      <c r="Z12" s="186"/>
      <c r="AA12" s="187"/>
      <c r="AB12" s="187"/>
      <c r="AC12" s="187"/>
      <c r="AD12" s="187"/>
      <c r="AE12" s="187"/>
      <c r="AF12" s="187"/>
      <c r="AG12" s="187"/>
      <c r="AH12" s="187"/>
      <c r="AI12" s="187"/>
      <c r="AJ12" s="187"/>
      <c r="AK12" s="187"/>
      <c r="AL12" s="187"/>
      <c r="AM12" s="187"/>
      <c r="AN12" s="187"/>
      <c r="AO12" s="188"/>
      <c r="AR12" s="186"/>
      <c r="AS12" s="187"/>
      <c r="AT12" s="187"/>
      <c r="AU12" s="187"/>
      <c r="AV12" s="187"/>
      <c r="AW12" s="187"/>
      <c r="AX12" s="187"/>
      <c r="AY12" s="187"/>
      <c r="AZ12" s="187"/>
      <c r="BA12" s="187"/>
      <c r="BB12" s="187"/>
      <c r="BC12" s="187"/>
      <c r="BD12" s="187"/>
      <c r="BE12" s="187"/>
      <c r="BF12" s="188"/>
      <c r="BI12" s="186"/>
      <c r="BJ12" s="187"/>
      <c r="BK12" s="187"/>
      <c r="BL12" s="187"/>
      <c r="BM12" s="187"/>
      <c r="BN12" s="187"/>
      <c r="BO12" s="187"/>
      <c r="BP12" s="187"/>
      <c r="BQ12" s="187"/>
      <c r="BR12" s="187"/>
      <c r="BS12" s="187"/>
      <c r="BT12" s="187"/>
      <c r="BU12" s="187"/>
      <c r="BV12" s="187"/>
      <c r="BW12" s="188"/>
    </row>
    <row r="13" spans="1:75" ht="27" thickTop="1" thickBot="1">
      <c r="C13" s="189" t="s">
        <v>643</v>
      </c>
      <c r="D13" s="189">
        <f>'MF Input Assumptions'!$D$20</f>
        <v>1.92</v>
      </c>
      <c r="E13" s="189">
        <f>'MF Input Assumptions'!$D$20</f>
        <v>1.92</v>
      </c>
      <c r="F13" s="189">
        <f>'MF Input Assumptions'!$D$20</f>
        <v>1.92</v>
      </c>
      <c r="G13" s="189">
        <f>'MF Input Assumptions'!$D$20</f>
        <v>1.92</v>
      </c>
      <c r="H13" s="189">
        <f>'MF Input Assumptions'!$D$20</f>
        <v>1.92</v>
      </c>
      <c r="I13" s="189">
        <f>'MF Input Assumptions'!$D$20</f>
        <v>1.92</v>
      </c>
      <c r="J13" s="189">
        <f>'MF Input Assumptions'!$D$20</f>
        <v>1.92</v>
      </c>
      <c r="K13" s="189">
        <f>'MF Input Assumptions'!$D$20</f>
        <v>1.92</v>
      </c>
      <c r="L13" s="189">
        <f>'MF Input Assumptions'!$D$20</f>
        <v>1.92</v>
      </c>
      <c r="N13" s="189" t="s">
        <v>278</v>
      </c>
      <c r="O13" s="189">
        <f>'MF Input Assumptions'!$D$20</f>
        <v>1.92</v>
      </c>
      <c r="P13" s="189">
        <f>'MF Input Assumptions'!$D$20</f>
        <v>1.92</v>
      </c>
      <c r="Q13" s="189">
        <f>'MF Input Assumptions'!$D$20</f>
        <v>1.92</v>
      </c>
      <c r="R13" s="189">
        <f>'MF Input Assumptions'!$D$20</f>
        <v>1.92</v>
      </c>
      <c r="S13" s="189">
        <f>'MF Input Assumptions'!$D$20</f>
        <v>1.92</v>
      </c>
      <c r="T13" s="189">
        <f>'MF Input Assumptions'!$D$20</f>
        <v>1.92</v>
      </c>
      <c r="U13" s="189">
        <f>'MF Input Assumptions'!$D$20</f>
        <v>1.92</v>
      </c>
      <c r="V13" s="189">
        <f>'MF Input Assumptions'!$D$20</f>
        <v>1.92</v>
      </c>
      <c r="W13" s="189">
        <f>'MF Input Assumptions'!$D$20</f>
        <v>1.92</v>
      </c>
      <c r="Z13" s="186"/>
      <c r="AA13" s="187"/>
      <c r="AB13" s="187"/>
      <c r="AC13" s="187"/>
      <c r="AD13" s="187"/>
      <c r="AE13" s="187"/>
      <c r="AF13" s="187"/>
      <c r="AG13" s="187"/>
      <c r="AH13" s="187"/>
      <c r="AI13" s="187"/>
      <c r="AJ13" s="187"/>
      <c r="AK13" s="187"/>
      <c r="AL13" s="187"/>
      <c r="AM13" s="187"/>
      <c r="AN13" s="187"/>
      <c r="AO13" s="188"/>
      <c r="AR13" s="186"/>
      <c r="AS13" s="187"/>
      <c r="AT13" s="187"/>
      <c r="AU13" s="187"/>
      <c r="AV13" s="187"/>
      <c r="AW13" s="187"/>
      <c r="AX13" s="187"/>
      <c r="AY13" s="187"/>
      <c r="AZ13" s="187"/>
      <c r="BA13" s="187"/>
      <c r="BB13" s="187"/>
      <c r="BC13" s="187"/>
      <c r="BD13" s="187"/>
      <c r="BE13" s="187"/>
      <c r="BF13" s="188"/>
      <c r="BI13" s="186"/>
      <c r="BJ13" s="187"/>
      <c r="BK13" s="187"/>
      <c r="BL13" s="187"/>
      <c r="BM13" s="187"/>
      <c r="BN13" s="187"/>
      <c r="BO13" s="187"/>
      <c r="BP13" s="187"/>
      <c r="BQ13" s="187"/>
      <c r="BR13" s="187"/>
      <c r="BS13" s="187"/>
      <c r="BT13" s="187"/>
      <c r="BU13" s="187"/>
      <c r="BV13" s="187"/>
      <c r="BW13" s="188"/>
    </row>
    <row r="14" spans="1:75" ht="27" customHeight="1" thickTop="1" thickBot="1">
      <c r="C14" s="189" t="s">
        <v>279</v>
      </c>
      <c r="D14" s="190">
        <f>'MF Input Assumptions'!$D$26</f>
        <v>7.84</v>
      </c>
      <c r="E14" s="190">
        <f>'MF Input Assumptions'!$D$26</f>
        <v>7.84</v>
      </c>
      <c r="F14" s="190">
        <f>'MF Input Assumptions'!$D$26</f>
        <v>7.84</v>
      </c>
      <c r="G14" s="190">
        <f>'MF Input Assumptions'!$D$26</f>
        <v>7.84</v>
      </c>
      <c r="H14" s="190">
        <f>'MF Input Assumptions'!$D$26</f>
        <v>7.84</v>
      </c>
      <c r="I14" s="190">
        <f>'MF Input Assumptions'!$D$26</f>
        <v>7.84</v>
      </c>
      <c r="J14" s="190">
        <f>'MF Input Assumptions'!$D$26</f>
        <v>7.84</v>
      </c>
      <c r="K14" s="190">
        <f>'MF Input Assumptions'!$D$26</f>
        <v>7.84</v>
      </c>
      <c r="L14" s="190">
        <f>'MF Input Assumptions'!$D$26</f>
        <v>7.84</v>
      </c>
      <c r="N14" s="189" t="s">
        <v>279</v>
      </c>
      <c r="O14" s="190">
        <f>'MF Input Assumptions'!D27</f>
        <v>7.84</v>
      </c>
      <c r="P14" s="190">
        <f>'MF Input Assumptions'!D28</f>
        <v>7.84</v>
      </c>
      <c r="Q14" s="190">
        <f>'MF Input Assumptions'!D29</f>
        <v>7.84</v>
      </c>
      <c r="R14" s="190">
        <f>O14</f>
        <v>7.84</v>
      </c>
      <c r="S14" s="190">
        <f>P14</f>
        <v>7.84</v>
      </c>
      <c r="T14" s="190">
        <f>Q14</f>
        <v>7.84</v>
      </c>
      <c r="U14" s="190">
        <f>O14</f>
        <v>7.84</v>
      </c>
      <c r="V14" s="190">
        <f>P14</f>
        <v>7.84</v>
      </c>
      <c r="W14" s="190">
        <f>Q14</f>
        <v>7.84</v>
      </c>
      <c r="Z14" s="186"/>
      <c r="AA14" s="187"/>
      <c r="AB14" s="187"/>
      <c r="AC14" s="187"/>
      <c r="AD14" s="187"/>
      <c r="AE14" s="187"/>
      <c r="AF14" s="187"/>
      <c r="AG14" s="187"/>
      <c r="AH14" s="187"/>
      <c r="AI14" s="187"/>
      <c r="AJ14" s="187"/>
      <c r="AK14" s="187"/>
      <c r="AL14" s="187"/>
      <c r="AM14" s="187"/>
      <c r="AN14" s="187"/>
      <c r="AO14" s="188"/>
      <c r="AR14" s="186"/>
      <c r="AS14" s="187"/>
      <c r="AT14" s="187"/>
      <c r="AU14" s="187"/>
      <c r="AV14" s="187"/>
      <c r="AW14" s="187"/>
      <c r="AX14" s="187"/>
      <c r="AY14" s="187"/>
      <c r="AZ14" s="187"/>
      <c r="BA14" s="187"/>
      <c r="BB14" s="187"/>
      <c r="BC14" s="187"/>
      <c r="BD14" s="187"/>
      <c r="BE14" s="187"/>
      <c r="BF14" s="188"/>
      <c r="BI14" s="186"/>
      <c r="BJ14" s="187"/>
      <c r="BK14" s="187"/>
      <c r="BL14" s="187"/>
      <c r="BM14" s="187"/>
      <c r="BN14" s="187"/>
      <c r="BO14" s="187"/>
      <c r="BP14" s="187"/>
      <c r="BQ14" s="187"/>
      <c r="BR14" s="187"/>
      <c r="BS14" s="187"/>
      <c r="BT14" s="187"/>
      <c r="BU14" s="187"/>
      <c r="BV14" s="187"/>
      <c r="BW14" s="188"/>
    </row>
    <row r="15" spans="1:75" ht="27" customHeight="1" thickTop="1" thickBot="1">
      <c r="C15" s="189" t="s">
        <v>280</v>
      </c>
      <c r="D15" s="191">
        <f t="shared" ref="D15:L15" si="0">D11*D12*D13*D14</f>
        <v>2897.6640000000002</v>
      </c>
      <c r="E15" s="191">
        <f t="shared" si="0"/>
        <v>2897.6640000000002</v>
      </c>
      <c r="F15" s="191">
        <f t="shared" si="0"/>
        <v>2897.6640000000002</v>
      </c>
      <c r="G15" s="191">
        <f t="shared" si="0"/>
        <v>1475.1744000000001</v>
      </c>
      <c r="H15" s="191">
        <f t="shared" si="0"/>
        <v>1475.1744000000001</v>
      </c>
      <c r="I15" s="191">
        <f t="shared" si="0"/>
        <v>1475.1744000000001</v>
      </c>
      <c r="J15" s="191">
        <f t="shared" si="0"/>
        <v>2423.5007999999998</v>
      </c>
      <c r="K15" s="191">
        <f t="shared" si="0"/>
        <v>2423.5007999999998</v>
      </c>
      <c r="L15" s="191">
        <f t="shared" si="0"/>
        <v>2423.5007999999998</v>
      </c>
      <c r="N15" s="189" t="s">
        <v>280</v>
      </c>
      <c r="O15" s="191">
        <f t="shared" ref="O15:V15" si="1">O11*O12*O13*O14</f>
        <v>2897.6640000000002</v>
      </c>
      <c r="P15" s="191">
        <f t="shared" si="1"/>
        <v>2897.6640000000002</v>
      </c>
      <c r="Q15" s="191">
        <f t="shared" si="1"/>
        <v>2897.6640000000002</v>
      </c>
      <c r="R15" s="191">
        <f t="shared" si="1"/>
        <v>1475.1744000000001</v>
      </c>
      <c r="S15" s="191">
        <f t="shared" si="1"/>
        <v>1475.1744000000001</v>
      </c>
      <c r="T15" s="191">
        <f t="shared" si="1"/>
        <v>1475.1744000000001</v>
      </c>
      <c r="U15" s="191">
        <f t="shared" si="1"/>
        <v>2423.5007999999998</v>
      </c>
      <c r="V15" s="191">
        <f t="shared" si="1"/>
        <v>2423.5007999999998</v>
      </c>
      <c r="W15" s="191">
        <f>W11*W12*W13*W14</f>
        <v>2423.5007999999998</v>
      </c>
      <c r="Z15" s="186"/>
      <c r="AA15" s="187"/>
      <c r="AB15" s="187"/>
      <c r="AC15" s="187"/>
      <c r="AD15" s="187"/>
      <c r="AE15" s="187"/>
      <c r="AF15" s="187"/>
      <c r="AG15" s="187"/>
      <c r="AH15" s="187"/>
      <c r="AI15" s="187"/>
      <c r="AJ15" s="187"/>
      <c r="AK15" s="187"/>
      <c r="AL15" s="187"/>
      <c r="AM15" s="187"/>
      <c r="AN15" s="187"/>
      <c r="AO15" s="188"/>
      <c r="AR15" s="186"/>
      <c r="AS15" s="187"/>
      <c r="AT15" s="187"/>
      <c r="AU15" s="187"/>
      <c r="AV15" s="187"/>
      <c r="AW15" s="187"/>
      <c r="AX15" s="187"/>
      <c r="AY15" s="187"/>
      <c r="AZ15" s="187"/>
      <c r="BA15" s="187"/>
      <c r="BB15" s="187"/>
      <c r="BC15" s="187"/>
      <c r="BD15" s="187"/>
      <c r="BE15" s="187"/>
      <c r="BF15" s="188"/>
      <c r="BI15" s="186"/>
      <c r="BJ15" s="187"/>
      <c r="BK15" s="187"/>
      <c r="BL15" s="187"/>
      <c r="BM15" s="187"/>
      <c r="BN15" s="187"/>
      <c r="BO15" s="187"/>
      <c r="BP15" s="187"/>
      <c r="BQ15" s="187"/>
      <c r="BR15" s="187"/>
      <c r="BS15" s="187"/>
      <c r="BT15" s="187"/>
      <c r="BU15" s="187"/>
      <c r="BV15" s="187"/>
      <c r="BW15" s="188"/>
    </row>
    <row r="16" spans="1:75" ht="14.25" thickTop="1" thickBot="1">
      <c r="C16" s="189" t="s">
        <v>281</v>
      </c>
      <c r="D16" s="189">
        <v>2.2000000000000002</v>
      </c>
      <c r="E16" s="189">
        <v>2.2000000000000002</v>
      </c>
      <c r="F16" s="189">
        <v>2.2000000000000002</v>
      </c>
      <c r="G16" s="189">
        <v>2.2000000000000002</v>
      </c>
      <c r="H16" s="189">
        <v>2.2000000000000002</v>
      </c>
      <c r="I16" s="189">
        <v>2.2000000000000002</v>
      </c>
      <c r="J16" s="189">
        <v>2.2000000000000002</v>
      </c>
      <c r="K16" s="189">
        <v>2.2000000000000002</v>
      </c>
      <c r="L16" s="189">
        <v>2.2000000000000002</v>
      </c>
      <c r="N16" s="189" t="s">
        <v>281</v>
      </c>
      <c r="O16" s="190">
        <f>'MF Input Assumptions'!B27</f>
        <v>1.8</v>
      </c>
      <c r="P16" s="190">
        <f>'MF Input Assumptions'!B28</f>
        <v>1.575</v>
      </c>
      <c r="Q16" s="190">
        <f>'MF Input Assumptions'!B29</f>
        <v>1.35</v>
      </c>
      <c r="R16" s="190">
        <f t="shared" ref="R16:T17" si="2">O16</f>
        <v>1.8</v>
      </c>
      <c r="S16" s="190">
        <f t="shared" si="2"/>
        <v>1.575</v>
      </c>
      <c r="T16" s="190">
        <f t="shared" si="2"/>
        <v>1.35</v>
      </c>
      <c r="U16" s="190">
        <f t="shared" ref="U16:W17" si="3">O16</f>
        <v>1.8</v>
      </c>
      <c r="V16" s="190">
        <f t="shared" si="3"/>
        <v>1.575</v>
      </c>
      <c r="W16" s="190">
        <f t="shared" si="3"/>
        <v>1.35</v>
      </c>
      <c r="Z16" s="186"/>
      <c r="AA16" s="187"/>
      <c r="AB16" s="187"/>
      <c r="AC16" s="187"/>
      <c r="AD16" s="187"/>
      <c r="AE16" s="187"/>
      <c r="AF16" s="187"/>
      <c r="AG16" s="187"/>
      <c r="AH16" s="187"/>
      <c r="AI16" s="187"/>
      <c r="AJ16" s="187"/>
      <c r="AK16" s="187"/>
      <c r="AL16" s="187"/>
      <c r="AM16" s="187"/>
      <c r="AN16" s="187"/>
      <c r="AO16" s="188"/>
      <c r="AR16" s="186"/>
      <c r="AS16" s="187"/>
      <c r="AT16" s="187"/>
      <c r="AU16" s="187"/>
      <c r="AV16" s="187"/>
      <c r="AW16" s="187"/>
      <c r="AX16" s="187"/>
      <c r="AY16" s="187"/>
      <c r="AZ16" s="187"/>
      <c r="BA16" s="187"/>
      <c r="BB16" s="187"/>
      <c r="BC16" s="187"/>
      <c r="BD16" s="187"/>
      <c r="BE16" s="187"/>
      <c r="BF16" s="188"/>
      <c r="BI16" s="186"/>
      <c r="BJ16" s="187"/>
      <c r="BK16" s="187"/>
      <c r="BL16" s="187"/>
      <c r="BM16" s="187"/>
      <c r="BN16" s="187"/>
      <c r="BO16" s="187"/>
      <c r="BP16" s="187"/>
      <c r="BQ16" s="187"/>
      <c r="BR16" s="187"/>
      <c r="BS16" s="187"/>
      <c r="BT16" s="187"/>
      <c r="BU16" s="187"/>
      <c r="BV16" s="187"/>
      <c r="BW16" s="188"/>
    </row>
    <row r="17" spans="3:75" ht="14.25" thickTop="1" thickBot="1">
      <c r="C17" s="189" t="s">
        <v>282</v>
      </c>
      <c r="D17" s="192">
        <v>0.73099999999999998</v>
      </c>
      <c r="E17" s="192">
        <v>0.73099999999999998</v>
      </c>
      <c r="F17" s="192">
        <v>0.73099999999999998</v>
      </c>
      <c r="G17" s="192">
        <v>0.73099999999999998</v>
      </c>
      <c r="H17" s="192">
        <v>0.73099999999999998</v>
      </c>
      <c r="I17" s="192">
        <v>0.73099999999999998</v>
      </c>
      <c r="J17" s="192">
        <v>0.73099999999999998</v>
      </c>
      <c r="K17" s="192">
        <v>0.73099999999999998</v>
      </c>
      <c r="L17" s="192">
        <v>0.73099999999999998</v>
      </c>
      <c r="N17" s="189" t="s">
        <v>282</v>
      </c>
      <c r="O17" s="192">
        <f>'MF Input Assumptions'!F27</f>
        <v>0.755</v>
      </c>
      <c r="P17" s="192">
        <f>'MF Input Assumptions'!F28</f>
        <v>0.76850000000000007</v>
      </c>
      <c r="Q17" s="192">
        <f>'MF Input Assumptions'!F29</f>
        <v>0.78200000000000003</v>
      </c>
      <c r="R17" s="192">
        <f t="shared" si="2"/>
        <v>0.755</v>
      </c>
      <c r="S17" s="192">
        <f t="shared" si="2"/>
        <v>0.76850000000000007</v>
      </c>
      <c r="T17" s="192">
        <f t="shared" si="2"/>
        <v>0.78200000000000003</v>
      </c>
      <c r="U17" s="192">
        <f t="shared" si="3"/>
        <v>0.755</v>
      </c>
      <c r="V17" s="192">
        <f t="shared" si="3"/>
        <v>0.76850000000000007</v>
      </c>
      <c r="W17" s="192">
        <f t="shared" si="3"/>
        <v>0.78200000000000003</v>
      </c>
      <c r="Z17" s="186"/>
      <c r="AA17" s="187"/>
      <c r="AB17" s="187"/>
      <c r="AC17" s="187"/>
      <c r="AD17" s="187"/>
      <c r="AE17" s="187"/>
      <c r="AF17" s="187"/>
      <c r="AG17" s="187"/>
      <c r="AH17" s="187"/>
      <c r="AI17" s="187"/>
      <c r="AJ17" s="187"/>
      <c r="AK17" s="187"/>
      <c r="AL17" s="187"/>
      <c r="AM17" s="187"/>
      <c r="AN17" s="187"/>
      <c r="AO17" s="188"/>
      <c r="AR17" s="186"/>
      <c r="AS17" s="187"/>
      <c r="AT17" s="187"/>
      <c r="AU17" s="187"/>
      <c r="AV17" s="187"/>
      <c r="AW17" s="187"/>
      <c r="AX17" s="187"/>
      <c r="AY17" s="187"/>
      <c r="AZ17" s="187"/>
      <c r="BA17" s="187"/>
      <c r="BB17" s="187"/>
      <c r="BC17" s="187"/>
      <c r="BD17" s="187"/>
      <c r="BE17" s="187"/>
      <c r="BF17" s="188"/>
      <c r="BI17" s="186"/>
      <c r="BJ17" s="187"/>
      <c r="BK17" s="187"/>
      <c r="BL17" s="187"/>
      <c r="BM17" s="187"/>
      <c r="BN17" s="187"/>
      <c r="BO17" s="187"/>
      <c r="BP17" s="187"/>
      <c r="BQ17" s="187"/>
      <c r="BR17" s="187"/>
      <c r="BS17" s="187"/>
      <c r="BT17" s="187"/>
      <c r="BU17" s="187"/>
      <c r="BV17" s="187"/>
      <c r="BW17" s="188"/>
    </row>
    <row r="18" spans="3:75" ht="27" thickTop="1" thickBot="1">
      <c r="C18" s="189" t="s">
        <v>283</v>
      </c>
      <c r="D18" s="189">
        <v>75</v>
      </c>
      <c r="E18" s="189">
        <v>75</v>
      </c>
      <c r="F18" s="189">
        <v>75</v>
      </c>
      <c r="G18" s="189">
        <v>75</v>
      </c>
      <c r="H18" s="189">
        <v>75</v>
      </c>
      <c r="I18" s="189">
        <v>75</v>
      </c>
      <c r="J18" s="189">
        <v>75</v>
      </c>
      <c r="K18" s="189">
        <v>75</v>
      </c>
      <c r="L18" s="189">
        <v>75</v>
      </c>
      <c r="N18" s="189" t="s">
        <v>283</v>
      </c>
      <c r="O18" s="189">
        <v>75</v>
      </c>
      <c r="P18" s="189">
        <v>75</v>
      </c>
      <c r="Q18" s="189">
        <v>75</v>
      </c>
      <c r="R18" s="189">
        <v>75</v>
      </c>
      <c r="S18" s="189">
        <v>75</v>
      </c>
      <c r="T18" s="189">
        <v>75</v>
      </c>
      <c r="U18" s="189">
        <v>75</v>
      </c>
      <c r="V18" s="189">
        <v>75</v>
      </c>
      <c r="W18" s="189">
        <v>75</v>
      </c>
      <c r="Z18" s="186"/>
      <c r="AA18" s="187"/>
      <c r="AB18" s="187"/>
      <c r="AC18" s="187"/>
      <c r="AD18" s="187"/>
      <c r="AE18" s="187"/>
      <c r="AF18" s="187"/>
      <c r="AG18" s="187"/>
      <c r="AH18" s="187"/>
      <c r="AI18" s="187"/>
      <c r="AJ18" s="187"/>
      <c r="AK18" s="187"/>
      <c r="AL18" s="187"/>
      <c r="AM18" s="187"/>
      <c r="AN18" s="187"/>
      <c r="AO18" s="188"/>
      <c r="AR18" s="186"/>
      <c r="AS18" s="187"/>
      <c r="AT18" s="187"/>
      <c r="AU18" s="187"/>
      <c r="AV18" s="187"/>
      <c r="AW18" s="187"/>
      <c r="AX18" s="187"/>
      <c r="AY18" s="187"/>
      <c r="AZ18" s="187"/>
      <c r="BA18" s="187"/>
      <c r="BB18" s="187"/>
      <c r="BC18" s="187"/>
      <c r="BD18" s="187"/>
      <c r="BE18" s="187"/>
      <c r="BF18" s="188"/>
      <c r="BI18" s="186"/>
      <c r="BJ18" s="187"/>
      <c r="BK18" s="187"/>
      <c r="BL18" s="187"/>
      <c r="BM18" s="187"/>
      <c r="BN18" s="187"/>
      <c r="BO18" s="187"/>
      <c r="BP18" s="187"/>
      <c r="BQ18" s="187"/>
      <c r="BR18" s="187"/>
      <c r="BS18" s="187"/>
      <c r="BT18" s="187"/>
      <c r="BU18" s="187"/>
      <c r="BV18" s="187"/>
      <c r="BW18" s="188"/>
    </row>
    <row r="19" spans="3:75" ht="27" customHeight="1" thickTop="1" thickBot="1">
      <c r="C19" s="189" t="s">
        <v>284</v>
      </c>
      <c r="D19" s="193">
        <f>'MF Input Assumptions'!$G$26</f>
        <v>108.363</v>
      </c>
      <c r="E19" s="193">
        <f>'MF Input Assumptions'!$G$26</f>
        <v>108.363</v>
      </c>
      <c r="F19" s="193">
        <f>'MF Input Assumptions'!$G$26</f>
        <v>108.363</v>
      </c>
      <c r="G19" s="193">
        <f>'MF Input Assumptions'!$G$26</f>
        <v>108.363</v>
      </c>
      <c r="H19" s="193">
        <f>'MF Input Assumptions'!$G$26</f>
        <v>108.363</v>
      </c>
      <c r="I19" s="193">
        <f>'MF Input Assumptions'!$G$26</f>
        <v>108.363</v>
      </c>
      <c r="J19" s="193">
        <f>'MF Input Assumptions'!$G$26</f>
        <v>108.363</v>
      </c>
      <c r="K19" s="193">
        <f>'MF Input Assumptions'!$G$26</f>
        <v>108.363</v>
      </c>
      <c r="L19" s="193">
        <f>'MF Input Assumptions'!$G$26</f>
        <v>108.363</v>
      </c>
      <c r="N19" s="189" t="s">
        <v>284</v>
      </c>
      <c r="O19" s="193">
        <f>'MF Input Assumptions'!$G$27</f>
        <v>110.11499999999999</v>
      </c>
      <c r="P19" s="193">
        <f>'MF Input Assumptions'!$G$28</f>
        <v>111.10050000000001</v>
      </c>
      <c r="Q19" s="193">
        <f>'MF Input Assumptions'!$G$29</f>
        <v>112.086</v>
      </c>
      <c r="R19" s="193">
        <f>O19</f>
        <v>110.11499999999999</v>
      </c>
      <c r="S19" s="193">
        <f>P19</f>
        <v>111.10050000000001</v>
      </c>
      <c r="T19" s="193">
        <f>Q19</f>
        <v>112.086</v>
      </c>
      <c r="U19" s="193">
        <f>O19</f>
        <v>110.11499999999999</v>
      </c>
      <c r="V19" s="193">
        <f>P19</f>
        <v>111.10050000000001</v>
      </c>
      <c r="W19" s="193">
        <f>Q19</f>
        <v>112.086</v>
      </c>
      <c r="Z19" s="186"/>
      <c r="AA19" s="187"/>
      <c r="AB19" s="187"/>
      <c r="AC19" s="187"/>
      <c r="AD19" s="187"/>
      <c r="AE19" s="187"/>
      <c r="AF19" s="187"/>
      <c r="AG19" s="187"/>
      <c r="AH19" s="187"/>
      <c r="AI19" s="187"/>
      <c r="AJ19" s="187"/>
      <c r="AK19" s="187"/>
      <c r="AL19" s="187"/>
      <c r="AM19" s="187"/>
      <c r="AN19" s="187"/>
      <c r="AO19" s="188"/>
      <c r="AR19" s="186"/>
      <c r="AS19" s="187"/>
      <c r="AT19" s="187"/>
      <c r="AU19" s="187"/>
      <c r="AV19" s="187"/>
      <c r="AW19" s="187"/>
      <c r="AX19" s="187"/>
      <c r="AY19" s="187"/>
      <c r="AZ19" s="187"/>
      <c r="BA19" s="187"/>
      <c r="BB19" s="187"/>
      <c r="BC19" s="187"/>
      <c r="BD19" s="187"/>
      <c r="BE19" s="187"/>
      <c r="BF19" s="188"/>
      <c r="BI19" s="186"/>
      <c r="BJ19" s="187"/>
      <c r="BK19" s="187"/>
      <c r="BL19" s="187"/>
      <c r="BM19" s="187"/>
      <c r="BN19" s="187"/>
      <c r="BO19" s="187"/>
      <c r="BP19" s="187"/>
      <c r="BQ19" s="187"/>
      <c r="BR19" s="187"/>
      <c r="BS19" s="187"/>
      <c r="BT19" s="187"/>
      <c r="BU19" s="187"/>
      <c r="BV19" s="187"/>
      <c r="BW19" s="188"/>
    </row>
    <row r="20" spans="3:75" ht="27" thickTop="1" thickBot="1">
      <c r="C20" s="189" t="s">
        <v>285</v>
      </c>
      <c r="D20" s="194">
        <f>'MF Input Assumptions'!$D$15/'MF Input Assumptions'!$D$12</f>
        <v>2.4934897959183674E-3</v>
      </c>
      <c r="E20" s="194">
        <f>'MF Input Assumptions'!$D$15/'MF Input Assumptions'!$D$12</f>
        <v>2.4934897959183674E-3</v>
      </c>
      <c r="F20" s="194">
        <f>'MF Input Assumptions'!$D$15/'MF Input Assumptions'!$D$12</f>
        <v>2.4934897959183674E-3</v>
      </c>
      <c r="G20" s="194">
        <f>'MF Input Assumptions'!$D$15/'MF Input Assumptions'!$D$12</f>
        <v>2.4934897959183674E-3</v>
      </c>
      <c r="H20" s="194">
        <f>'MF Input Assumptions'!$D$15/'MF Input Assumptions'!$D$12</f>
        <v>2.4934897959183674E-3</v>
      </c>
      <c r="I20" s="194">
        <f>'MF Input Assumptions'!$D$15/'MF Input Assumptions'!$D$12</f>
        <v>2.4934897959183674E-3</v>
      </c>
      <c r="J20" s="194">
        <f>'MF Input Assumptions'!$D$15/'MF Input Assumptions'!$D$12</f>
        <v>2.4934897959183674E-3</v>
      </c>
      <c r="K20" s="194">
        <f>'MF Input Assumptions'!$D$15/'MF Input Assumptions'!$D$12</f>
        <v>2.4934897959183674E-3</v>
      </c>
      <c r="L20" s="194">
        <f>'MF Input Assumptions'!$D$15/'MF Input Assumptions'!$D$12</f>
        <v>2.4934897959183674E-3</v>
      </c>
      <c r="N20" s="189" t="s">
        <v>285</v>
      </c>
      <c r="O20" s="194">
        <f t="shared" ref="O20:W21" si="4">D20</f>
        <v>2.4934897959183674E-3</v>
      </c>
      <c r="P20" s="194">
        <f t="shared" si="4"/>
        <v>2.4934897959183674E-3</v>
      </c>
      <c r="Q20" s="194">
        <f t="shared" si="4"/>
        <v>2.4934897959183674E-3</v>
      </c>
      <c r="R20" s="194">
        <f t="shared" si="4"/>
        <v>2.4934897959183674E-3</v>
      </c>
      <c r="S20" s="194">
        <f t="shared" si="4"/>
        <v>2.4934897959183674E-3</v>
      </c>
      <c r="T20" s="194">
        <f t="shared" si="4"/>
        <v>2.4934897959183674E-3</v>
      </c>
      <c r="U20" s="194">
        <f t="shared" si="4"/>
        <v>2.4934897959183674E-3</v>
      </c>
      <c r="V20" s="194">
        <f t="shared" si="4"/>
        <v>2.4934897959183674E-3</v>
      </c>
      <c r="W20" s="194">
        <f t="shared" si="4"/>
        <v>2.4934897959183674E-3</v>
      </c>
      <c r="Z20" s="186"/>
      <c r="AA20" s="187"/>
      <c r="AB20" s="187"/>
      <c r="AC20" s="187"/>
      <c r="AD20" s="187"/>
      <c r="AE20" s="187"/>
      <c r="AF20" s="187"/>
      <c r="AG20" s="187"/>
      <c r="AH20" s="187"/>
      <c r="AI20" s="187"/>
      <c r="AJ20" s="187"/>
      <c r="AK20" s="187"/>
      <c r="AL20" s="187"/>
      <c r="AM20" s="187"/>
      <c r="AN20" s="187"/>
      <c r="AO20" s="188"/>
      <c r="AR20" s="186"/>
      <c r="AS20" s="187"/>
      <c r="AT20" s="187"/>
      <c r="AU20" s="187"/>
      <c r="AV20" s="187"/>
      <c r="AW20" s="187"/>
      <c r="AX20" s="187"/>
      <c r="AY20" s="187"/>
      <c r="AZ20" s="187"/>
      <c r="BA20" s="187"/>
      <c r="BB20" s="187"/>
      <c r="BC20" s="187"/>
      <c r="BD20" s="187"/>
      <c r="BE20" s="187"/>
      <c r="BF20" s="188"/>
      <c r="BI20" s="186"/>
      <c r="BJ20" s="187"/>
      <c r="BK20" s="187"/>
      <c r="BL20" s="187"/>
      <c r="BM20" s="187"/>
      <c r="BN20" s="187"/>
      <c r="BO20" s="187"/>
      <c r="BP20" s="187"/>
      <c r="BQ20" s="187"/>
      <c r="BR20" s="187"/>
      <c r="BS20" s="187"/>
      <c r="BT20" s="187"/>
      <c r="BU20" s="187"/>
      <c r="BV20" s="187"/>
      <c r="BW20" s="188"/>
    </row>
    <row r="21" spans="3:75" ht="27" thickTop="1" thickBot="1">
      <c r="C21" s="189" t="s">
        <v>286</v>
      </c>
      <c r="D21" s="189">
        <f>'MF Input Assumptions'!$D$17/'MF Input Assumptions'!$D$13</f>
        <v>1.1119999999999999E-4</v>
      </c>
      <c r="E21" s="189">
        <f>'MF Input Assumptions'!$D$17/'MF Input Assumptions'!$D$13</f>
        <v>1.1119999999999999E-4</v>
      </c>
      <c r="F21" s="189">
        <f>'MF Input Assumptions'!$D$17/'MF Input Assumptions'!$D$13</f>
        <v>1.1119999999999999E-4</v>
      </c>
      <c r="G21" s="189">
        <f>'MF Input Assumptions'!$D$17/'MF Input Assumptions'!$D$13</f>
        <v>1.1119999999999999E-4</v>
      </c>
      <c r="H21" s="189">
        <f>'MF Input Assumptions'!$D$17/'MF Input Assumptions'!$D$13</f>
        <v>1.1119999999999999E-4</v>
      </c>
      <c r="I21" s="189">
        <f>'MF Input Assumptions'!$D$17/'MF Input Assumptions'!$D$13</f>
        <v>1.1119999999999999E-4</v>
      </c>
      <c r="J21" s="189">
        <f>'MF Input Assumptions'!$D$17/'MF Input Assumptions'!$D$13</f>
        <v>1.1119999999999999E-4</v>
      </c>
      <c r="K21" s="189">
        <f>'MF Input Assumptions'!$D$17/'MF Input Assumptions'!$D$13</f>
        <v>1.1119999999999999E-4</v>
      </c>
      <c r="L21" s="189">
        <f>'MF Input Assumptions'!$D$17/'MF Input Assumptions'!$D$13</f>
        <v>1.1119999999999999E-4</v>
      </c>
      <c r="N21" s="189" t="s">
        <v>286</v>
      </c>
      <c r="O21" s="194">
        <f t="shared" si="4"/>
        <v>1.1119999999999999E-4</v>
      </c>
      <c r="P21" s="194">
        <f t="shared" si="4"/>
        <v>1.1119999999999999E-4</v>
      </c>
      <c r="Q21" s="194">
        <f t="shared" si="4"/>
        <v>1.1119999999999999E-4</v>
      </c>
      <c r="R21" s="194">
        <f t="shared" si="4"/>
        <v>1.1119999999999999E-4</v>
      </c>
      <c r="S21" s="194">
        <f t="shared" si="4"/>
        <v>1.1119999999999999E-4</v>
      </c>
      <c r="T21" s="194">
        <f t="shared" si="4"/>
        <v>1.1119999999999999E-4</v>
      </c>
      <c r="U21" s="194">
        <f t="shared" si="4"/>
        <v>1.1119999999999999E-4</v>
      </c>
      <c r="V21" s="194">
        <f t="shared" si="4"/>
        <v>1.1119999999999999E-4</v>
      </c>
      <c r="W21" s="194">
        <f t="shared" si="4"/>
        <v>1.1119999999999999E-4</v>
      </c>
      <c r="Z21" s="186"/>
      <c r="AA21" s="187"/>
      <c r="AB21" s="187"/>
      <c r="AC21" s="187"/>
      <c r="AD21" s="187"/>
      <c r="AE21" s="187"/>
      <c r="AF21" s="187"/>
      <c r="AG21" s="187"/>
      <c r="AH21" s="187"/>
      <c r="AI21" s="187"/>
      <c r="AJ21" s="187"/>
      <c r="AK21" s="187"/>
      <c r="AL21" s="187"/>
      <c r="AM21" s="187"/>
      <c r="AN21" s="187"/>
      <c r="AO21" s="188"/>
      <c r="AR21" s="186"/>
      <c r="AS21" s="187"/>
      <c r="AT21" s="187"/>
      <c r="AU21" s="187"/>
      <c r="AV21" s="187"/>
      <c r="AW21" s="187"/>
      <c r="AX21" s="187"/>
      <c r="AY21" s="187"/>
      <c r="AZ21" s="187"/>
      <c r="BA21" s="187"/>
      <c r="BB21" s="187"/>
      <c r="BC21" s="187"/>
      <c r="BD21" s="187"/>
      <c r="BE21" s="187"/>
      <c r="BF21" s="188"/>
      <c r="BI21" s="186"/>
      <c r="BJ21" s="187"/>
      <c r="BK21" s="187"/>
      <c r="BL21" s="187"/>
      <c r="BM21" s="187"/>
      <c r="BN21" s="187"/>
      <c r="BO21" s="187"/>
      <c r="BP21" s="187"/>
      <c r="BQ21" s="187"/>
      <c r="BR21" s="187"/>
      <c r="BS21" s="187"/>
      <c r="BT21" s="187"/>
      <c r="BU21" s="187"/>
      <c r="BV21" s="187"/>
      <c r="BW21" s="188"/>
    </row>
    <row r="22" spans="3:75" ht="14.25" thickTop="1" thickBot="1">
      <c r="C22" s="189" t="s">
        <v>287</v>
      </c>
      <c r="D22" s="191">
        <f>D11*D12*D13*D16*D14</f>
        <v>6374.8608000000004</v>
      </c>
      <c r="E22" s="191">
        <f t="shared" ref="E22:L22" si="5">E11*E12*E13*E16*E14</f>
        <v>6374.8608000000004</v>
      </c>
      <c r="F22" s="191">
        <f t="shared" si="5"/>
        <v>6374.8608000000004</v>
      </c>
      <c r="G22" s="191">
        <f t="shared" si="5"/>
        <v>3245.3836800000008</v>
      </c>
      <c r="H22" s="191">
        <f t="shared" si="5"/>
        <v>3245.3836800000008</v>
      </c>
      <c r="I22" s="191">
        <f t="shared" si="5"/>
        <v>3245.3836800000008</v>
      </c>
      <c r="J22" s="191">
        <f t="shared" si="5"/>
        <v>5331.7017600000008</v>
      </c>
      <c r="K22" s="191">
        <f t="shared" si="5"/>
        <v>5331.7017600000008</v>
      </c>
      <c r="L22" s="191">
        <f t="shared" si="5"/>
        <v>5331.7017600000008</v>
      </c>
      <c r="N22" s="189" t="s">
        <v>287</v>
      </c>
      <c r="O22" s="191">
        <f t="shared" ref="O22:W22" si="6">O11*O12*O13*O16*O14</f>
        <v>5215.7952000000005</v>
      </c>
      <c r="P22" s="191">
        <f t="shared" si="6"/>
        <v>4563.8207999999995</v>
      </c>
      <c r="Q22" s="191">
        <f t="shared" si="6"/>
        <v>3911.8464000000004</v>
      </c>
      <c r="R22" s="191">
        <f t="shared" si="6"/>
        <v>2655.3139200000005</v>
      </c>
      <c r="S22" s="191">
        <f t="shared" si="6"/>
        <v>2323.39968</v>
      </c>
      <c r="T22" s="191">
        <f t="shared" si="6"/>
        <v>1991.4854400000004</v>
      </c>
      <c r="U22" s="191">
        <f t="shared" si="6"/>
        <v>4362.3014400000002</v>
      </c>
      <c r="V22" s="191">
        <f t="shared" si="6"/>
        <v>3817.0137599999998</v>
      </c>
      <c r="W22" s="191">
        <f t="shared" si="6"/>
        <v>3271.7260799999999</v>
      </c>
      <c r="Z22" s="186"/>
      <c r="AA22" s="187"/>
      <c r="AB22" s="187"/>
      <c r="AC22" s="187"/>
      <c r="AD22" s="187"/>
      <c r="AE22" s="187"/>
      <c r="AF22" s="187"/>
      <c r="AG22" s="187"/>
      <c r="AH22" s="187"/>
      <c r="AI22" s="187"/>
      <c r="AJ22" s="187"/>
      <c r="AK22" s="187"/>
      <c r="AL22" s="187"/>
      <c r="AM22" s="187"/>
      <c r="AN22" s="187"/>
      <c r="AO22" s="188"/>
      <c r="AR22" s="186"/>
      <c r="AS22" s="187"/>
      <c r="AT22" s="187"/>
      <c r="AU22" s="187"/>
      <c r="AV22" s="187"/>
      <c r="AW22" s="187"/>
      <c r="AX22" s="187"/>
      <c r="AY22" s="187"/>
      <c r="AZ22" s="187"/>
      <c r="BA22" s="187"/>
      <c r="BB22" s="187"/>
      <c r="BC22" s="187"/>
      <c r="BD22" s="187"/>
      <c r="BE22" s="187"/>
      <c r="BF22" s="188"/>
      <c r="BI22" s="186"/>
      <c r="BJ22" s="187"/>
      <c r="BK22" s="187"/>
      <c r="BL22" s="187"/>
      <c r="BM22" s="187"/>
      <c r="BN22" s="187"/>
      <c r="BO22" s="187"/>
      <c r="BP22" s="187"/>
      <c r="BQ22" s="187"/>
      <c r="BR22" s="187"/>
      <c r="BS22" s="187"/>
      <c r="BT22" s="187"/>
      <c r="BU22" s="187"/>
      <c r="BV22" s="187"/>
      <c r="BW22" s="188"/>
    </row>
    <row r="23" spans="3:75" ht="14.25" thickTop="1" thickBot="1">
      <c r="C23" s="195" t="s">
        <v>288</v>
      </c>
      <c r="D23" s="196">
        <f>D22*'MF Input Assumptions'!$E$43/1000</f>
        <v>97.726616063999998</v>
      </c>
      <c r="E23" s="196">
        <f>E22*'MF Input Assumptions'!$E$43/1000</f>
        <v>97.726616063999998</v>
      </c>
      <c r="F23" s="196">
        <f>F22*'MF Input Assumptions'!$E$43/1000</f>
        <v>97.726616063999998</v>
      </c>
      <c r="G23" s="196">
        <f>G22*'MF Input Assumptions'!$E$43/1000</f>
        <v>49.751731814400017</v>
      </c>
      <c r="H23" s="196">
        <f>H22*'MF Input Assumptions'!$E$43/1000</f>
        <v>49.751731814400017</v>
      </c>
      <c r="I23" s="196">
        <f>I22*'MF Input Assumptions'!$E$43/1000</f>
        <v>49.751731814400017</v>
      </c>
      <c r="J23" s="196">
        <f>J22*'MF Input Assumptions'!$E$43/1000</f>
        <v>81.734987980800014</v>
      </c>
      <c r="K23" s="196">
        <f>K22*'MF Input Assumptions'!$E$43/1000</f>
        <v>81.734987980800014</v>
      </c>
      <c r="L23" s="196">
        <f>L22*'MF Input Assumptions'!$E$43/1000</f>
        <v>81.734987980800014</v>
      </c>
      <c r="N23" s="195" t="s">
        <v>288</v>
      </c>
      <c r="O23" s="196">
        <f>O22*'MF Input Assumptions'!$E$43/1000</f>
        <v>79.958140416000006</v>
      </c>
      <c r="P23" s="196">
        <f>P22*'MF Input Assumptions'!$E$43/1000</f>
        <v>69.963372863999993</v>
      </c>
      <c r="Q23" s="196">
        <f>Q22*'MF Input Assumptions'!$E$43/1000</f>
        <v>59.968605312000008</v>
      </c>
      <c r="R23" s="196">
        <f>R22*'MF Input Assumptions'!$E$43/1000</f>
        <v>40.705962393600004</v>
      </c>
      <c r="S23" s="196">
        <f>S22*'MF Input Assumptions'!$E$43/1000</f>
        <v>35.6177170944</v>
      </c>
      <c r="T23" s="196">
        <f>T22*'MF Input Assumptions'!$E$43/1000</f>
        <v>30.529471795200006</v>
      </c>
      <c r="U23" s="196">
        <f>U22*'MF Input Assumptions'!$E$43/1000</f>
        <v>66.874081075199996</v>
      </c>
      <c r="V23" s="196">
        <f>V22*'MF Input Assumptions'!$E$43/1000</f>
        <v>58.5148209408</v>
      </c>
      <c r="W23" s="196">
        <f>W22*'MF Input Assumptions'!$E$43/1000</f>
        <v>50.155560806399997</v>
      </c>
      <c r="Z23" s="186"/>
      <c r="AA23" s="187"/>
      <c r="AB23" s="187"/>
      <c r="AC23" s="187"/>
      <c r="AD23" s="187"/>
      <c r="AE23" s="187"/>
      <c r="AF23" s="187"/>
      <c r="AG23" s="187"/>
      <c r="AH23" s="187"/>
      <c r="AI23" s="187"/>
      <c r="AJ23" s="187"/>
      <c r="AK23" s="187"/>
      <c r="AL23" s="187"/>
      <c r="AM23" s="187"/>
      <c r="AN23" s="187"/>
      <c r="AO23" s="188"/>
      <c r="AR23" s="186"/>
      <c r="AS23" s="187"/>
      <c r="AT23" s="187"/>
      <c r="AU23" s="187"/>
      <c r="AV23" s="187"/>
      <c r="AW23" s="187"/>
      <c r="AX23" s="187"/>
      <c r="AY23" s="187"/>
      <c r="AZ23" s="187"/>
      <c r="BA23" s="187"/>
      <c r="BB23" s="187"/>
      <c r="BC23" s="187"/>
      <c r="BD23" s="187"/>
      <c r="BE23" s="187"/>
      <c r="BF23" s="188"/>
      <c r="BI23" s="186"/>
      <c r="BJ23" s="187"/>
      <c r="BK23" s="187"/>
      <c r="BL23" s="187"/>
      <c r="BM23" s="187"/>
      <c r="BN23" s="187"/>
      <c r="BO23" s="187"/>
      <c r="BP23" s="187"/>
      <c r="BQ23" s="187"/>
      <c r="BR23" s="187"/>
      <c r="BS23" s="187"/>
      <c r="BT23" s="187"/>
      <c r="BU23" s="187"/>
      <c r="BV23" s="187"/>
      <c r="BW23" s="188"/>
    </row>
    <row r="24" spans="3:75" ht="27" customHeight="1" thickTop="1" thickBot="1">
      <c r="C24" s="195" t="s">
        <v>289</v>
      </c>
      <c r="D24" s="197">
        <f>D22*'MF Input Assumptions'!$C$47/1000</f>
        <v>23.485907969384495</v>
      </c>
      <c r="E24" s="197">
        <f>E22*'MF Input Assumptions'!$C$47/1000</f>
        <v>23.485907969384495</v>
      </c>
      <c r="F24" s="197">
        <f>F22*'MF Input Assumptions'!$C$47/1000</f>
        <v>23.485907969384495</v>
      </c>
      <c r="G24" s="197">
        <f>G22*'MF Input Assumptions'!$C$47/1000</f>
        <v>11.956462238959382</v>
      </c>
      <c r="H24" s="197">
        <f>H22*'MF Input Assumptions'!$C$47/1000</f>
        <v>11.956462238959382</v>
      </c>
      <c r="I24" s="197">
        <f>I22*'MF Input Assumptions'!$C$47/1000</f>
        <v>11.956462238959382</v>
      </c>
      <c r="J24" s="197">
        <f>J22*'MF Input Assumptions'!$C$47/1000</f>
        <v>19.642759392576124</v>
      </c>
      <c r="K24" s="197">
        <f>K22*'MF Input Assumptions'!$C$47/1000</f>
        <v>19.642759392576124</v>
      </c>
      <c r="L24" s="197">
        <f>L22*'MF Input Assumptions'!$C$47/1000</f>
        <v>19.642759392576124</v>
      </c>
      <c r="N24" s="195" t="s">
        <v>289</v>
      </c>
      <c r="O24" s="197">
        <f>O22*'MF Input Assumptions'!$C$47/1000</f>
        <v>19.215742884041862</v>
      </c>
      <c r="P24" s="197">
        <f>P22*'MF Input Assumptions'!$C$47/1000</f>
        <v>16.813775023536625</v>
      </c>
      <c r="Q24" s="197">
        <f>Q22*'MF Input Assumptions'!$C$47/1000</f>
        <v>14.411807163031396</v>
      </c>
      <c r="R24" s="197">
        <f>R22*'MF Input Assumptions'!$C$47/1000</f>
        <v>9.7825600136940398</v>
      </c>
      <c r="S24" s="197">
        <f>S22*'MF Input Assumptions'!$C$47/1000</f>
        <v>8.5597400119822815</v>
      </c>
      <c r="T24" s="197">
        <f>T22*'MF Input Assumptions'!$C$47/1000</f>
        <v>7.3369200102705294</v>
      </c>
      <c r="U24" s="197">
        <f>U22*'MF Input Assumptions'!$C$47/1000</f>
        <v>16.071348593925919</v>
      </c>
      <c r="V24" s="197">
        <f>V22*'MF Input Assumptions'!$C$47/1000</f>
        <v>14.062430019685179</v>
      </c>
      <c r="W24" s="197">
        <f>W22*'MF Input Assumptions'!$C$47/1000</f>
        <v>12.053511445444437</v>
      </c>
      <c r="Z24" s="186"/>
      <c r="AA24" s="187"/>
      <c r="AB24" s="187"/>
      <c r="AC24" s="187"/>
      <c r="AD24" s="187"/>
      <c r="AE24" s="187"/>
      <c r="AF24" s="187"/>
      <c r="AG24" s="187"/>
      <c r="AH24" s="187"/>
      <c r="AI24" s="187"/>
      <c r="AJ24" s="187"/>
      <c r="AK24" s="187"/>
      <c r="AL24" s="187"/>
      <c r="AM24" s="187"/>
      <c r="AN24" s="187"/>
      <c r="AO24" s="188"/>
      <c r="AR24" s="186"/>
      <c r="AS24" s="187"/>
      <c r="AT24" s="187"/>
      <c r="AU24" s="187"/>
      <c r="AV24" s="187"/>
      <c r="AW24" s="187"/>
      <c r="AX24" s="187"/>
      <c r="AY24" s="187"/>
      <c r="AZ24" s="187"/>
      <c r="BA24" s="187"/>
      <c r="BB24" s="187"/>
      <c r="BC24" s="187"/>
      <c r="BD24" s="187"/>
      <c r="BE24" s="187"/>
      <c r="BF24" s="188"/>
      <c r="BI24" s="186"/>
      <c r="BJ24" s="187"/>
      <c r="BK24" s="187"/>
      <c r="BL24" s="187"/>
      <c r="BM24" s="187"/>
      <c r="BN24" s="187"/>
      <c r="BO24" s="187"/>
      <c r="BP24" s="187"/>
      <c r="BQ24" s="187"/>
      <c r="BR24" s="187"/>
      <c r="BS24" s="187"/>
      <c r="BT24" s="187"/>
      <c r="BU24" s="187"/>
      <c r="BV24" s="187"/>
      <c r="BW24" s="188"/>
    </row>
    <row r="25" spans="3:75" ht="14.25" thickTop="1" thickBot="1">
      <c r="C25" s="189" t="s">
        <v>290</v>
      </c>
      <c r="D25" s="191">
        <f t="shared" ref="D25:L25" si="7">D22*D17</f>
        <v>4660.0232448000006</v>
      </c>
      <c r="E25" s="191">
        <f t="shared" si="7"/>
        <v>4660.0232448000006</v>
      </c>
      <c r="F25" s="191">
        <f t="shared" si="7"/>
        <v>4660.0232448000006</v>
      </c>
      <c r="G25" s="191">
        <f t="shared" si="7"/>
        <v>2372.3754700800005</v>
      </c>
      <c r="H25" s="191">
        <f t="shared" si="7"/>
        <v>2372.3754700800005</v>
      </c>
      <c r="I25" s="191">
        <f t="shared" si="7"/>
        <v>2372.3754700800005</v>
      </c>
      <c r="J25" s="191">
        <f t="shared" si="7"/>
        <v>3897.4739865600004</v>
      </c>
      <c r="K25" s="191">
        <f t="shared" si="7"/>
        <v>3897.4739865600004</v>
      </c>
      <c r="L25" s="191">
        <f t="shared" si="7"/>
        <v>3897.4739865600004</v>
      </c>
      <c r="N25" s="189" t="s">
        <v>290</v>
      </c>
      <c r="O25" s="191">
        <f t="shared" ref="O25:W25" si="8">O22*O17</f>
        <v>3937.9253760000006</v>
      </c>
      <c r="P25" s="191">
        <f t="shared" si="8"/>
        <v>3507.2962847999997</v>
      </c>
      <c r="Q25" s="191">
        <f t="shared" si="8"/>
        <v>3059.0638848000003</v>
      </c>
      <c r="R25" s="191">
        <f t="shared" si="8"/>
        <v>2004.7620096000003</v>
      </c>
      <c r="S25" s="191">
        <f t="shared" si="8"/>
        <v>1785.5326540800002</v>
      </c>
      <c r="T25" s="191">
        <f t="shared" si="8"/>
        <v>1557.3416140800005</v>
      </c>
      <c r="U25" s="191">
        <f t="shared" si="8"/>
        <v>3293.5375872</v>
      </c>
      <c r="V25" s="191">
        <f t="shared" si="8"/>
        <v>2933.37507456</v>
      </c>
      <c r="W25" s="191">
        <f t="shared" si="8"/>
        <v>2558.4897945600001</v>
      </c>
      <c r="Z25" s="186"/>
      <c r="AA25" s="187"/>
      <c r="AB25" s="198"/>
      <c r="AC25" s="187"/>
      <c r="AD25" s="187"/>
      <c r="AE25" s="187"/>
      <c r="AF25" s="187"/>
      <c r="AG25" s="187"/>
      <c r="AH25" s="187"/>
      <c r="AI25" s="187"/>
      <c r="AJ25" s="187"/>
      <c r="AK25" s="187"/>
      <c r="AL25" s="187"/>
      <c r="AM25" s="187"/>
      <c r="AN25" s="187"/>
      <c r="AO25" s="188"/>
      <c r="AR25" s="186"/>
      <c r="AS25" s="187"/>
      <c r="AT25" s="187"/>
      <c r="AU25" s="187"/>
      <c r="AV25" s="187"/>
      <c r="AW25" s="187"/>
      <c r="AX25" s="187"/>
      <c r="AY25" s="187"/>
      <c r="AZ25" s="187"/>
      <c r="BA25" s="187"/>
      <c r="BB25" s="187"/>
      <c r="BC25" s="187"/>
      <c r="BD25" s="187"/>
      <c r="BE25" s="187"/>
      <c r="BF25" s="188"/>
      <c r="BI25" s="186"/>
      <c r="BJ25" s="187"/>
      <c r="BK25" s="187"/>
      <c r="BL25" s="187"/>
      <c r="BM25" s="187"/>
      <c r="BN25" s="187"/>
      <c r="BO25" s="187"/>
      <c r="BP25" s="187"/>
      <c r="BQ25" s="187"/>
      <c r="BR25" s="187"/>
      <c r="BS25" s="187"/>
      <c r="BT25" s="187"/>
      <c r="BU25" s="187"/>
      <c r="BV25" s="187"/>
      <c r="BW25" s="188"/>
    </row>
    <row r="26" spans="3:75" ht="14.25" thickTop="1" thickBot="1">
      <c r="C26" s="189" t="s">
        <v>291</v>
      </c>
      <c r="D26" s="191">
        <f t="shared" ref="D26:L26" si="9">D25*D18</f>
        <v>349501.74336000002</v>
      </c>
      <c r="E26" s="191">
        <f t="shared" si="9"/>
        <v>349501.74336000002</v>
      </c>
      <c r="F26" s="191">
        <f t="shared" si="9"/>
        <v>349501.74336000002</v>
      </c>
      <c r="G26" s="191">
        <f t="shared" si="9"/>
        <v>177928.16025600003</v>
      </c>
      <c r="H26" s="191">
        <f t="shared" si="9"/>
        <v>177928.16025600003</v>
      </c>
      <c r="I26" s="191">
        <f t="shared" si="9"/>
        <v>177928.16025600003</v>
      </c>
      <c r="J26" s="191">
        <f t="shared" si="9"/>
        <v>292310.54899200005</v>
      </c>
      <c r="K26" s="191">
        <f t="shared" si="9"/>
        <v>292310.54899200005</v>
      </c>
      <c r="L26" s="191">
        <f t="shared" si="9"/>
        <v>292310.54899200005</v>
      </c>
      <c r="N26" s="189" t="s">
        <v>291</v>
      </c>
      <c r="O26" s="191">
        <f t="shared" ref="O26:W26" si="10">O25*O18</f>
        <v>295344.40320000006</v>
      </c>
      <c r="P26" s="191">
        <f t="shared" si="10"/>
        <v>263047.22135999997</v>
      </c>
      <c r="Q26" s="191">
        <f t="shared" si="10"/>
        <v>229429.79136000003</v>
      </c>
      <c r="R26" s="191">
        <f t="shared" si="10"/>
        <v>150357.15072000003</v>
      </c>
      <c r="S26" s="191">
        <f t="shared" si="10"/>
        <v>133914.94905600001</v>
      </c>
      <c r="T26" s="191">
        <f t="shared" si="10"/>
        <v>116800.62105600003</v>
      </c>
      <c r="U26" s="191">
        <f t="shared" si="10"/>
        <v>247015.31904</v>
      </c>
      <c r="V26" s="191">
        <f t="shared" si="10"/>
        <v>220003.130592</v>
      </c>
      <c r="W26" s="191">
        <f t="shared" si="10"/>
        <v>191886.73459199999</v>
      </c>
      <c r="Z26" s="186"/>
      <c r="AA26" s="187"/>
      <c r="AB26" s="187"/>
      <c r="AC26" s="187"/>
      <c r="AD26" s="187"/>
      <c r="AE26" s="187"/>
      <c r="AF26" s="187"/>
      <c r="AG26" s="187"/>
      <c r="AH26" s="187"/>
      <c r="AI26" s="187"/>
      <c r="AJ26" s="187"/>
      <c r="AK26" s="187"/>
      <c r="AL26" s="187"/>
      <c r="AM26" s="187"/>
      <c r="AN26" s="187"/>
      <c r="AO26" s="188"/>
      <c r="AR26" s="186"/>
      <c r="AS26" s="187"/>
      <c r="AT26" s="187"/>
      <c r="AU26" s="187"/>
      <c r="AV26" s="187"/>
      <c r="AW26" s="187"/>
      <c r="AX26" s="187"/>
      <c r="AY26" s="187"/>
      <c r="AZ26" s="187"/>
      <c r="BA26" s="187"/>
      <c r="BB26" s="187"/>
      <c r="BC26" s="187"/>
      <c r="BD26" s="187"/>
      <c r="BE26" s="187"/>
      <c r="BF26" s="188"/>
      <c r="BI26" s="186"/>
      <c r="BJ26" s="187"/>
      <c r="BK26" s="187"/>
      <c r="BL26" s="187"/>
      <c r="BM26" s="187"/>
      <c r="BN26" s="187"/>
      <c r="BO26" s="187"/>
      <c r="BP26" s="187"/>
      <c r="BQ26" s="187"/>
      <c r="BR26" s="187"/>
      <c r="BS26" s="187"/>
      <c r="BT26" s="187"/>
      <c r="BU26" s="187"/>
      <c r="BV26" s="187"/>
      <c r="BW26" s="188"/>
    </row>
    <row r="27" spans="3:75" ht="16.5" thickTop="1" thickBot="1">
      <c r="C27" s="199" t="s">
        <v>292</v>
      </c>
      <c r="D27" s="200"/>
      <c r="E27" s="200"/>
      <c r="F27" s="200"/>
      <c r="G27" s="200"/>
      <c r="H27" s="200"/>
      <c r="I27" s="200"/>
      <c r="J27" s="200"/>
      <c r="K27" s="200"/>
      <c r="L27" s="200"/>
      <c r="N27" s="199" t="s">
        <v>292</v>
      </c>
      <c r="O27" s="200"/>
      <c r="P27" s="200"/>
      <c r="Q27" s="200"/>
      <c r="R27" s="200"/>
      <c r="S27" s="200"/>
      <c r="T27" s="200"/>
      <c r="U27" s="200"/>
      <c r="V27" s="200"/>
      <c r="W27" s="200"/>
      <c r="Z27" s="186"/>
      <c r="AA27" s="187"/>
      <c r="AB27" s="343" t="s">
        <v>293</v>
      </c>
      <c r="AC27" s="346"/>
      <c r="AD27" s="346"/>
      <c r="AE27" s="346"/>
      <c r="AF27" s="346"/>
      <c r="AG27" s="346"/>
      <c r="AH27" s="346"/>
      <c r="AI27" s="346"/>
      <c r="AJ27" s="346"/>
      <c r="AK27" s="346"/>
      <c r="AL27" s="346"/>
      <c r="AM27" s="346"/>
      <c r="AN27" s="187"/>
      <c r="AO27" s="188"/>
      <c r="AR27" s="186"/>
      <c r="AS27" s="187"/>
      <c r="AT27" s="187"/>
      <c r="AU27" s="187"/>
      <c r="AV27" s="187"/>
      <c r="AW27" s="187"/>
      <c r="AX27" s="187"/>
      <c r="AY27" s="187"/>
      <c r="AZ27" s="187"/>
      <c r="BA27" s="187"/>
      <c r="BB27" s="187"/>
      <c r="BC27" s="187"/>
      <c r="BD27" s="187"/>
      <c r="BE27" s="187"/>
      <c r="BF27" s="188"/>
      <c r="BI27" s="186"/>
      <c r="BJ27" s="187"/>
      <c r="BK27" s="187"/>
      <c r="BL27" s="187"/>
      <c r="BM27" s="187"/>
      <c r="BN27" s="187"/>
      <c r="BO27" s="187"/>
      <c r="BP27" s="187"/>
      <c r="BQ27" s="187"/>
      <c r="BR27" s="187"/>
      <c r="BS27" s="187"/>
      <c r="BT27" s="187"/>
      <c r="BU27" s="187"/>
      <c r="BV27" s="187"/>
      <c r="BW27" s="188"/>
    </row>
    <row r="28" spans="3:75" ht="14.25" thickTop="1" thickBot="1">
      <c r="C28" s="189" t="s">
        <v>294</v>
      </c>
      <c r="D28" s="191">
        <f>D20*D26</f>
        <v>871.47903072384008</v>
      </c>
      <c r="E28" s="191">
        <f t="shared" ref="E28:L28" si="11">E20*E26</f>
        <v>871.47903072384008</v>
      </c>
      <c r="F28" s="191">
        <f t="shared" si="11"/>
        <v>871.47903072384008</v>
      </c>
      <c r="G28" s="191">
        <f t="shared" si="11"/>
        <v>443.66205200486411</v>
      </c>
      <c r="H28" s="191">
        <f t="shared" si="11"/>
        <v>443.66205200486411</v>
      </c>
      <c r="I28" s="191">
        <f t="shared" si="11"/>
        <v>443.66205200486411</v>
      </c>
      <c r="J28" s="191">
        <f t="shared" si="11"/>
        <v>728.87337115084813</v>
      </c>
      <c r="K28" s="191">
        <f>K20*K26</f>
        <v>728.87337115084813</v>
      </c>
      <c r="L28" s="191">
        <f t="shared" si="11"/>
        <v>728.87337115084813</v>
      </c>
      <c r="N28" s="189" t="s">
        <v>294</v>
      </c>
      <c r="O28" s="191">
        <f>O20*O26</f>
        <v>736.43825566080022</v>
      </c>
      <c r="P28" s="191">
        <f t="shared" ref="P28:W28" si="12">P20*P26</f>
        <v>655.90556230583991</v>
      </c>
      <c r="Q28" s="191">
        <f t="shared" si="12"/>
        <v>572.0808436358401</v>
      </c>
      <c r="R28" s="191">
        <f t="shared" si="12"/>
        <v>374.91402106368008</v>
      </c>
      <c r="S28" s="191">
        <f t="shared" si="12"/>
        <v>333.91555899206406</v>
      </c>
      <c r="T28" s="191">
        <f t="shared" si="12"/>
        <v>291.24115676006409</v>
      </c>
      <c r="U28" s="191">
        <f t="shared" si="12"/>
        <v>615.93017746176008</v>
      </c>
      <c r="V28" s="191">
        <f t="shared" si="12"/>
        <v>548.57556120124798</v>
      </c>
      <c r="W28" s="191">
        <f t="shared" si="12"/>
        <v>478.46761467724798</v>
      </c>
      <c r="Z28" s="186"/>
      <c r="AA28" s="187"/>
      <c r="AB28" s="346"/>
      <c r="AC28" s="346"/>
      <c r="AD28" s="346"/>
      <c r="AE28" s="346"/>
      <c r="AF28" s="346"/>
      <c r="AG28" s="346"/>
      <c r="AH28" s="346"/>
      <c r="AI28" s="346"/>
      <c r="AJ28" s="346"/>
      <c r="AK28" s="346"/>
      <c r="AL28" s="346"/>
      <c r="AM28" s="346"/>
      <c r="AN28" s="187"/>
      <c r="AO28" s="188"/>
      <c r="AR28" s="186"/>
      <c r="AS28" s="187"/>
      <c r="AT28" s="187"/>
      <c r="AU28" s="187"/>
      <c r="AV28" s="187"/>
      <c r="AW28" s="187"/>
      <c r="AX28" s="187"/>
      <c r="AY28" s="187"/>
      <c r="AZ28" s="187"/>
      <c r="BA28" s="187"/>
      <c r="BB28" s="187"/>
      <c r="BC28" s="187"/>
      <c r="BD28" s="187"/>
      <c r="BE28" s="187"/>
      <c r="BF28" s="188"/>
      <c r="BI28" s="186"/>
      <c r="BJ28" s="187"/>
      <c r="BK28" s="187"/>
      <c r="BL28" s="187"/>
      <c r="BM28" s="187"/>
      <c r="BN28" s="187"/>
      <c r="BO28" s="187"/>
      <c r="BP28" s="187"/>
      <c r="BQ28" s="187"/>
      <c r="BR28" s="187"/>
      <c r="BS28" s="187"/>
      <c r="BT28" s="187"/>
      <c r="BU28" s="187"/>
      <c r="BV28" s="187"/>
      <c r="BW28" s="188"/>
    </row>
    <row r="29" spans="3:75" ht="16.5" thickTop="1" thickBot="1">
      <c r="C29" s="199" t="s">
        <v>295</v>
      </c>
      <c r="N29" s="199" t="s">
        <v>295</v>
      </c>
      <c r="Z29" s="186"/>
      <c r="AA29" s="187"/>
      <c r="AB29" s="346"/>
      <c r="AC29" s="346"/>
      <c r="AD29" s="346"/>
      <c r="AE29" s="346"/>
      <c r="AF29" s="346"/>
      <c r="AG29" s="346"/>
      <c r="AH29" s="346"/>
      <c r="AI29" s="346"/>
      <c r="AJ29" s="346"/>
      <c r="AK29" s="346"/>
      <c r="AL29" s="346"/>
      <c r="AM29" s="346"/>
      <c r="AN29" s="187"/>
      <c r="AO29" s="188"/>
      <c r="AR29" s="186"/>
      <c r="AS29" s="187"/>
      <c r="AT29" s="187"/>
      <c r="AU29" s="187"/>
      <c r="AV29" s="187"/>
      <c r="AW29" s="187"/>
      <c r="AX29" s="187"/>
      <c r="AY29" s="187"/>
      <c r="AZ29" s="187"/>
      <c r="BA29" s="187"/>
      <c r="BB29" s="187"/>
      <c r="BC29" s="187"/>
      <c r="BD29" s="187"/>
      <c r="BE29" s="187"/>
      <c r="BF29" s="188"/>
      <c r="BI29" s="186"/>
      <c r="BJ29" s="187"/>
      <c r="BK29" s="187"/>
      <c r="BL29" s="187"/>
      <c r="BM29" s="187"/>
      <c r="BN29" s="187"/>
      <c r="BO29" s="187"/>
      <c r="BP29" s="187"/>
      <c r="BQ29" s="187"/>
      <c r="BR29" s="187"/>
      <c r="BS29" s="187"/>
      <c r="BT29" s="187"/>
      <c r="BU29" s="187"/>
      <c r="BV29" s="187"/>
      <c r="BW29" s="188"/>
    </row>
    <row r="30" spans="3:75" ht="14.25" thickTop="1" thickBot="1">
      <c r="C30" s="189" t="s">
        <v>296</v>
      </c>
      <c r="D30" s="201">
        <f>D21*D26</f>
        <v>38.864593861632002</v>
      </c>
      <c r="E30" s="201">
        <f t="shared" ref="E30:L30" si="13">E21*E26</f>
        <v>38.864593861632002</v>
      </c>
      <c r="F30" s="201">
        <f t="shared" si="13"/>
        <v>38.864593861632002</v>
      </c>
      <c r="G30" s="201">
        <f t="shared" si="13"/>
        <v>19.785611420467202</v>
      </c>
      <c r="H30" s="201">
        <f t="shared" si="13"/>
        <v>19.785611420467202</v>
      </c>
      <c r="I30" s="201">
        <f t="shared" si="13"/>
        <v>19.785611420467202</v>
      </c>
      <c r="J30" s="201">
        <f t="shared" si="13"/>
        <v>32.504933047910406</v>
      </c>
      <c r="K30" s="201">
        <f t="shared" si="13"/>
        <v>32.504933047910406</v>
      </c>
      <c r="L30" s="201">
        <f t="shared" si="13"/>
        <v>32.504933047910406</v>
      </c>
      <c r="N30" s="189" t="s">
        <v>296</v>
      </c>
      <c r="O30" s="201">
        <f>O21*O26</f>
        <v>32.842297635840005</v>
      </c>
      <c r="P30" s="201">
        <f t="shared" ref="P30:W30" si="14">P21*P26</f>
        <v>29.250851015231994</v>
      </c>
      <c r="Q30" s="201">
        <f t="shared" si="14"/>
        <v>25.512592799232003</v>
      </c>
      <c r="R30" s="201">
        <f t="shared" si="14"/>
        <v>16.719715160064002</v>
      </c>
      <c r="S30" s="201">
        <f t="shared" si="14"/>
        <v>14.891342335027201</v>
      </c>
      <c r="T30" s="201">
        <f t="shared" si="14"/>
        <v>12.988229061427203</v>
      </c>
      <c r="U30" s="201">
        <f t="shared" si="14"/>
        <v>27.468103477247997</v>
      </c>
      <c r="V30" s="201">
        <f t="shared" si="14"/>
        <v>24.464348121830398</v>
      </c>
      <c r="W30" s="201">
        <f t="shared" si="14"/>
        <v>21.337804886630398</v>
      </c>
      <c r="Z30" s="202"/>
      <c r="AA30" s="203"/>
      <c r="AB30" s="203"/>
      <c r="AC30" s="203"/>
      <c r="AD30" s="203"/>
      <c r="AE30" s="203"/>
      <c r="AF30" s="203"/>
      <c r="AG30" s="203"/>
      <c r="AH30" s="203"/>
      <c r="AI30" s="203"/>
      <c r="AJ30" s="203"/>
      <c r="AK30" s="203"/>
      <c r="AL30" s="203"/>
      <c r="AM30" s="203"/>
      <c r="AN30" s="203"/>
      <c r="AO30" s="204"/>
      <c r="AR30" s="186"/>
      <c r="AS30" s="187"/>
      <c r="AT30" s="187"/>
      <c r="AU30" s="187"/>
      <c r="AV30" s="187"/>
      <c r="AW30" s="187"/>
      <c r="AX30" s="187"/>
      <c r="AY30" s="187"/>
      <c r="AZ30" s="187"/>
      <c r="BA30" s="187"/>
      <c r="BB30" s="187"/>
      <c r="BC30" s="187"/>
      <c r="BD30" s="187"/>
      <c r="BE30" s="187"/>
      <c r="BF30" s="188"/>
      <c r="BI30" s="186"/>
      <c r="BJ30" s="187"/>
      <c r="BK30" s="187"/>
      <c r="BL30" s="187"/>
      <c r="BM30" s="187"/>
      <c r="BN30" s="187"/>
      <c r="BO30" s="187"/>
      <c r="BP30" s="187"/>
      <c r="BQ30" s="187"/>
      <c r="BR30" s="187"/>
      <c r="BS30" s="187"/>
      <c r="BT30" s="187"/>
      <c r="BU30" s="187"/>
      <c r="BV30" s="187"/>
      <c r="BW30" s="188"/>
    </row>
    <row r="31" spans="3:75" ht="16.5" thickTop="1" thickBot="1">
      <c r="C31" s="199" t="s">
        <v>297</v>
      </c>
      <c r="N31" s="199" t="s">
        <v>297</v>
      </c>
      <c r="AR31" s="186"/>
      <c r="AS31" s="187"/>
      <c r="AT31" s="187"/>
      <c r="AU31" s="187"/>
      <c r="AV31" s="187"/>
      <c r="AW31" s="187"/>
      <c r="AX31" s="187"/>
      <c r="AY31" s="187"/>
      <c r="AZ31" s="187"/>
      <c r="BA31" s="187"/>
      <c r="BB31" s="187"/>
      <c r="BC31" s="187"/>
      <c r="BD31" s="187"/>
      <c r="BE31" s="187"/>
      <c r="BF31" s="188"/>
      <c r="BI31" s="186"/>
      <c r="BJ31" s="187"/>
      <c r="BK31" s="187"/>
      <c r="BL31" s="187"/>
      <c r="BM31" s="187"/>
      <c r="BN31" s="187"/>
      <c r="BO31" s="187"/>
      <c r="BP31" s="187"/>
      <c r="BQ31" s="187"/>
      <c r="BR31" s="187"/>
      <c r="BS31" s="187"/>
      <c r="BT31" s="187"/>
      <c r="BU31" s="187"/>
      <c r="BV31" s="187"/>
      <c r="BW31" s="188"/>
    </row>
    <row r="32" spans="3:75" ht="14.25" thickTop="1" thickBot="1">
      <c r="C32" s="189" t="s">
        <v>294</v>
      </c>
      <c r="D32" s="191">
        <f>D28*'MF Input Assumptions'!$D$19</f>
        <v>825.29064209547653</v>
      </c>
      <c r="E32" s="191">
        <f>E28*'MF Input Assumptions'!$D$19</f>
        <v>825.29064209547653</v>
      </c>
      <c r="F32" s="191">
        <f>F28*'MF Input Assumptions'!$D$19</f>
        <v>825.29064209547653</v>
      </c>
      <c r="G32" s="191">
        <f>G28*'MF Input Assumptions'!$D$19</f>
        <v>420.14796324860629</v>
      </c>
      <c r="H32" s="191">
        <f>H28*'MF Input Assumptions'!$D$19</f>
        <v>420.14796324860629</v>
      </c>
      <c r="I32" s="191">
        <f>I28*'MF Input Assumptions'!$D$19</f>
        <v>420.14796324860629</v>
      </c>
      <c r="J32" s="191">
        <f>J28*'MF Input Assumptions'!$D$19</f>
        <v>690.24308247985311</v>
      </c>
      <c r="K32" s="191">
        <f>K28*'MF Input Assumptions'!$D$19</f>
        <v>690.24308247985311</v>
      </c>
      <c r="L32" s="191">
        <f>L28*'MF Input Assumptions'!$D$19</f>
        <v>690.24308247985311</v>
      </c>
      <c r="N32" s="189" t="s">
        <v>294</v>
      </c>
      <c r="O32" s="191">
        <f>O28*'MF Input Assumptions'!$D$19</f>
        <v>697.40702811077779</v>
      </c>
      <c r="P32" s="191">
        <f>P28*'MF Input Assumptions'!$D$19</f>
        <v>621.1425675036304</v>
      </c>
      <c r="Q32" s="191">
        <f>Q28*'MF Input Assumptions'!$D$19</f>
        <v>541.76055892314059</v>
      </c>
      <c r="R32" s="191">
        <f>R28*'MF Input Assumptions'!$D$19</f>
        <v>355.04357794730504</v>
      </c>
      <c r="S32" s="191">
        <f>S28*'MF Input Assumptions'!$D$19</f>
        <v>316.21803436548464</v>
      </c>
      <c r="T32" s="191">
        <f>T28*'MF Input Assumptions'!$D$19</f>
        <v>275.80537545178066</v>
      </c>
      <c r="U32" s="191">
        <f>U28*'MF Input Assumptions'!$D$19</f>
        <v>583.28587805628672</v>
      </c>
      <c r="V32" s="191">
        <f>V28*'MF Input Assumptions'!$D$19</f>
        <v>519.50105645758185</v>
      </c>
      <c r="W32" s="191">
        <f>W28*'MF Input Assumptions'!$D$19</f>
        <v>453.10883109935384</v>
      </c>
      <c r="AR32" s="186"/>
      <c r="AS32" s="187"/>
      <c r="AT32" s="187"/>
      <c r="AU32" s="187"/>
      <c r="AV32" s="187"/>
      <c r="AW32" s="187"/>
      <c r="AX32" s="187"/>
      <c r="AY32" s="187"/>
      <c r="AZ32" s="187"/>
      <c r="BA32" s="187"/>
      <c r="BB32" s="187"/>
      <c r="BC32" s="187"/>
      <c r="BD32" s="187"/>
      <c r="BE32" s="187"/>
      <c r="BF32" s="188"/>
      <c r="BI32" s="186"/>
      <c r="BJ32" s="187"/>
      <c r="BK32" s="187"/>
      <c r="BL32" s="187"/>
      <c r="BM32" s="187"/>
      <c r="BN32" s="187"/>
      <c r="BO32" s="187"/>
      <c r="BP32" s="187"/>
      <c r="BQ32" s="187"/>
      <c r="BR32" s="187"/>
      <c r="BS32" s="187"/>
      <c r="BT32" s="187"/>
      <c r="BU32" s="187"/>
      <c r="BV32" s="187"/>
      <c r="BW32" s="188"/>
    </row>
    <row r="33" spans="2:75" ht="14.25" thickTop="1" thickBot="1">
      <c r="C33" s="189" t="s">
        <v>296</v>
      </c>
      <c r="D33" s="201">
        <f>D30*(1-'MF Input Assumptions'!$D$19)</f>
        <v>2.0598234746664978</v>
      </c>
      <c r="E33" s="201">
        <f>E30*(1-'MF Input Assumptions'!$D$19)</f>
        <v>2.0598234746664978</v>
      </c>
      <c r="F33" s="201">
        <f>F30*(1-'MF Input Assumptions'!$D$19)</f>
        <v>2.0598234746664978</v>
      </c>
      <c r="G33" s="201">
        <f>G30*(1-'MF Input Assumptions'!$D$19)</f>
        <v>1.0486374052847627</v>
      </c>
      <c r="H33" s="201">
        <f>H30*(1-'MF Input Assumptions'!$D$19)</f>
        <v>1.0486374052847627</v>
      </c>
      <c r="I33" s="201">
        <f>I30*(1-'MF Input Assumptions'!$D$19)</f>
        <v>1.0486374052847627</v>
      </c>
      <c r="J33" s="201">
        <f>J30*(1-'MF Input Assumptions'!$D$19)</f>
        <v>1.7227614515392531</v>
      </c>
      <c r="K33" s="201">
        <f>K30*(1-'MF Input Assumptions'!$D$19)</f>
        <v>1.7227614515392531</v>
      </c>
      <c r="L33" s="201">
        <f>L30*(1-'MF Input Assumptions'!$D$19)</f>
        <v>1.7227614515392531</v>
      </c>
      <c r="N33" s="189" t="s">
        <v>296</v>
      </c>
      <c r="O33" s="201">
        <f>O30*(1-'MF Input Assumptions'!$D$19)</f>
        <v>1.7406417746995217</v>
      </c>
      <c r="P33" s="201">
        <f>P30*(1-'MF Input Assumptions'!$D$19)</f>
        <v>1.5502951038072972</v>
      </c>
      <c r="Q33" s="201">
        <f>Q30*(1-'MF Input Assumptions'!$D$19)</f>
        <v>1.3521674183592973</v>
      </c>
      <c r="R33" s="201">
        <f>R30*(1-'MF Input Assumptions'!$D$19)</f>
        <v>0.88614490348339292</v>
      </c>
      <c r="S33" s="201">
        <f>S30*(1-'MF Input Assumptions'!$D$19)</f>
        <v>0.78924114375644228</v>
      </c>
      <c r="T33" s="201">
        <f>T30*(1-'MF Input Assumptions'!$D$19)</f>
        <v>0.68837614025564242</v>
      </c>
      <c r="U33" s="201">
        <f>U30*(1-'MF Input Assumptions'!$D$19)</f>
        <v>1.4558094842941451</v>
      </c>
      <c r="V33" s="201">
        <f>V30*(1-'MF Input Assumptions'!$D$19)</f>
        <v>1.2966104504570122</v>
      </c>
      <c r="W33" s="201">
        <f>W30*(1-'MF Input Assumptions'!$D$19)</f>
        <v>1.1309036589914121</v>
      </c>
      <c r="AR33" s="186"/>
      <c r="AS33" s="187"/>
      <c r="AT33" s="187"/>
      <c r="AU33" s="187"/>
      <c r="AV33" s="187"/>
      <c r="AW33" s="187"/>
      <c r="AX33" s="187"/>
      <c r="AY33" s="187"/>
      <c r="AZ33" s="187"/>
      <c r="BA33" s="187"/>
      <c r="BB33" s="187"/>
      <c r="BC33" s="187"/>
      <c r="BD33" s="187"/>
      <c r="BE33" s="187"/>
      <c r="BF33" s="188"/>
      <c r="BI33" s="186"/>
      <c r="BJ33" s="187"/>
      <c r="BK33" s="187"/>
      <c r="BL33" s="187"/>
      <c r="BM33" s="187"/>
      <c r="BN33" s="187"/>
      <c r="BO33" s="187"/>
      <c r="BP33" s="187"/>
      <c r="BQ33" s="187"/>
      <c r="BR33" s="187"/>
      <c r="BS33" s="187"/>
      <c r="BT33" s="187"/>
      <c r="BU33" s="187"/>
      <c r="BV33" s="187"/>
      <c r="BW33" s="188"/>
    </row>
    <row r="34" spans="2:75" ht="13.5" thickTop="1">
      <c r="Z34" s="183"/>
      <c r="AA34" s="184"/>
      <c r="AB34" s="184"/>
      <c r="AC34" s="184"/>
      <c r="AD34" s="184"/>
      <c r="AE34" s="184"/>
      <c r="AF34" s="184"/>
      <c r="AG34" s="184"/>
      <c r="AH34" s="184"/>
      <c r="AI34" s="184"/>
      <c r="AJ34" s="184"/>
      <c r="AK34" s="184"/>
      <c r="AL34" s="184"/>
      <c r="AM34" s="184"/>
      <c r="AN34" s="184"/>
      <c r="AO34" s="185"/>
      <c r="AR34" s="186"/>
      <c r="AS34" s="187"/>
      <c r="AT34" s="187"/>
      <c r="AU34" s="187"/>
      <c r="AV34" s="187"/>
      <c r="AW34" s="187"/>
      <c r="AX34" s="187"/>
      <c r="AY34" s="187"/>
      <c r="AZ34" s="187"/>
      <c r="BA34" s="187"/>
      <c r="BB34" s="187"/>
      <c r="BC34" s="187"/>
      <c r="BD34" s="187"/>
      <c r="BE34" s="187"/>
      <c r="BF34" s="188"/>
      <c r="BI34" s="186"/>
      <c r="BJ34" s="187"/>
      <c r="BK34" s="187"/>
      <c r="BL34" s="187"/>
      <c r="BM34" s="187"/>
      <c r="BN34" s="187"/>
      <c r="BO34" s="187"/>
      <c r="BP34" s="187"/>
      <c r="BQ34" s="187"/>
      <c r="BR34" s="187"/>
      <c r="BS34" s="187"/>
      <c r="BT34" s="187"/>
      <c r="BU34" s="187"/>
      <c r="BV34" s="187"/>
      <c r="BW34" s="188"/>
    </row>
    <row r="35" spans="2:75" ht="15">
      <c r="B35" s="205" t="s">
        <v>298</v>
      </c>
      <c r="C35" s="178"/>
      <c r="D35" s="178"/>
      <c r="E35" s="178"/>
      <c r="F35" s="178"/>
      <c r="G35" s="178"/>
      <c r="H35" s="178"/>
      <c r="I35" s="120" t="s">
        <v>211</v>
      </c>
      <c r="J35" s="178"/>
      <c r="K35" s="178"/>
      <c r="L35" s="178"/>
      <c r="Z35" s="186"/>
      <c r="AA35" s="187"/>
      <c r="AB35" s="187"/>
      <c r="AC35" s="187"/>
      <c r="AD35" s="187"/>
      <c r="AE35" s="187"/>
      <c r="AF35" s="187"/>
      <c r="AG35" s="187"/>
      <c r="AH35" s="187"/>
      <c r="AI35" s="187"/>
      <c r="AJ35" s="187"/>
      <c r="AK35" s="187"/>
      <c r="AL35" s="187"/>
      <c r="AM35" s="187"/>
      <c r="AN35" s="187"/>
      <c r="AO35" s="188"/>
      <c r="AR35" s="186"/>
      <c r="AS35" s="187"/>
      <c r="AT35" s="187"/>
      <c r="AU35" s="187"/>
      <c r="AV35" s="187"/>
      <c r="AW35" s="187"/>
      <c r="AX35" s="187"/>
      <c r="AY35" s="187"/>
      <c r="AZ35" s="187"/>
      <c r="BA35" s="187"/>
      <c r="BB35" s="187"/>
      <c r="BC35" s="187"/>
      <c r="BD35" s="187"/>
      <c r="BE35" s="187"/>
      <c r="BF35" s="188"/>
      <c r="BI35" s="186"/>
      <c r="BJ35" s="187"/>
      <c r="BK35" s="187"/>
      <c r="BL35" s="187"/>
      <c r="BM35" s="187"/>
      <c r="BN35" s="187"/>
      <c r="BO35" s="187"/>
      <c r="BP35" s="187"/>
      <c r="BQ35" s="187"/>
      <c r="BR35" s="187"/>
      <c r="BS35" s="187"/>
      <c r="BT35" s="187"/>
      <c r="BU35" s="187"/>
      <c r="BV35" s="187"/>
      <c r="BW35" s="188"/>
    </row>
    <row r="36" spans="2:75" ht="13.5" thickBot="1">
      <c r="Z36" s="186"/>
      <c r="AA36" s="187"/>
      <c r="AB36" s="187"/>
      <c r="AC36" s="187"/>
      <c r="AD36" s="187"/>
      <c r="AE36" s="187"/>
      <c r="AF36" s="187"/>
      <c r="AG36" s="187"/>
      <c r="AH36" s="187"/>
      <c r="AI36" s="187"/>
      <c r="AJ36" s="187"/>
      <c r="AK36" s="187"/>
      <c r="AL36" s="187"/>
      <c r="AM36" s="187"/>
      <c r="AN36" s="187"/>
      <c r="AO36" s="188"/>
      <c r="AR36" s="186"/>
      <c r="AS36" s="187"/>
      <c r="AT36" s="187"/>
      <c r="AU36" s="187"/>
      <c r="AV36" s="187"/>
      <c r="AW36" s="187"/>
      <c r="AX36" s="187"/>
      <c r="AY36" s="187"/>
      <c r="AZ36" s="187"/>
      <c r="BA36" s="187"/>
      <c r="BB36" s="187"/>
      <c r="BC36" s="187"/>
      <c r="BD36" s="187"/>
      <c r="BE36" s="187"/>
      <c r="BF36" s="188"/>
      <c r="BI36" s="186"/>
      <c r="BJ36" s="187"/>
      <c r="BK36" s="187"/>
      <c r="BL36" s="187"/>
      <c r="BM36" s="187"/>
      <c r="BN36" s="187"/>
      <c r="BO36" s="187"/>
      <c r="BP36" s="187"/>
      <c r="BQ36" s="187"/>
      <c r="BR36" s="187"/>
      <c r="BS36" s="187"/>
      <c r="BT36" s="187"/>
      <c r="BU36" s="187"/>
      <c r="BV36" s="187"/>
      <c r="BW36" s="188"/>
    </row>
    <row r="37" spans="2:75" ht="16.5" customHeight="1" thickTop="1" thickBot="1">
      <c r="C37" s="182" t="s">
        <v>268</v>
      </c>
      <c r="D37" s="344" t="str">
        <f>$D$9</f>
        <v>Primary Shower</v>
      </c>
      <c r="E37" s="344"/>
      <c r="F37" s="344"/>
      <c r="G37" s="344" t="str">
        <f>$G$9</f>
        <v>Secondary Shower</v>
      </c>
      <c r="H37" s="344"/>
      <c r="I37" s="344"/>
      <c r="J37" s="344" t="str">
        <f>$J$9</f>
        <v>Any Shower</v>
      </c>
      <c r="K37" s="344"/>
      <c r="L37" s="344"/>
      <c r="Z37" s="186"/>
      <c r="AA37" s="187"/>
      <c r="AB37" s="187"/>
      <c r="AC37" s="187"/>
      <c r="AD37" s="187"/>
      <c r="AE37" s="187"/>
      <c r="AF37" s="187"/>
      <c r="AG37" s="187"/>
      <c r="AH37" s="187"/>
      <c r="AI37" s="187"/>
      <c r="AJ37" s="187"/>
      <c r="AK37" s="187"/>
      <c r="AL37" s="187"/>
      <c r="AM37" s="187"/>
      <c r="AN37" s="187"/>
      <c r="AO37" s="188"/>
      <c r="AR37" s="186"/>
      <c r="AS37" s="187"/>
      <c r="AT37" s="187"/>
      <c r="AU37" s="187"/>
      <c r="AV37" s="187"/>
      <c r="AW37" s="187"/>
      <c r="AX37" s="187"/>
      <c r="AY37" s="187"/>
      <c r="AZ37" s="187"/>
      <c r="BA37" s="187"/>
      <c r="BB37" s="187"/>
      <c r="BC37" s="187"/>
      <c r="BD37" s="187"/>
      <c r="BE37" s="187"/>
      <c r="BF37" s="188"/>
      <c r="BI37" s="186"/>
      <c r="BJ37" s="187"/>
      <c r="BK37" s="187"/>
      <c r="BL37" s="187"/>
      <c r="BM37" s="187"/>
      <c r="BN37" s="187"/>
      <c r="BO37" s="187"/>
      <c r="BP37" s="187"/>
      <c r="BQ37" s="187"/>
      <c r="BR37" s="187"/>
      <c r="BS37" s="187"/>
      <c r="BT37" s="187"/>
      <c r="BU37" s="187"/>
      <c r="BV37" s="187"/>
      <c r="BW37" s="188"/>
    </row>
    <row r="38" spans="2:75" ht="31.5" customHeight="1" thickTop="1" thickBot="1">
      <c r="C38" s="182" t="s">
        <v>272</v>
      </c>
      <c r="D38" s="314" t="s">
        <v>273</v>
      </c>
      <c r="E38" s="314" t="s">
        <v>274</v>
      </c>
      <c r="F38" s="314" t="s">
        <v>275</v>
      </c>
      <c r="G38" s="314" t="s">
        <v>273</v>
      </c>
      <c r="H38" s="314" t="s">
        <v>274</v>
      </c>
      <c r="I38" s="314" t="s">
        <v>275</v>
      </c>
      <c r="J38" s="314" t="s">
        <v>273</v>
      </c>
      <c r="K38" s="314" t="s">
        <v>274</v>
      </c>
      <c r="L38" s="314" t="s">
        <v>275</v>
      </c>
      <c r="Z38" s="186"/>
      <c r="AA38" s="187"/>
      <c r="AB38" s="187"/>
      <c r="AC38" s="187"/>
      <c r="AD38" s="187"/>
      <c r="AE38" s="187"/>
      <c r="AF38" s="187"/>
      <c r="AG38" s="187"/>
      <c r="AH38" s="187"/>
      <c r="AI38" s="187"/>
      <c r="AJ38" s="187"/>
      <c r="AK38" s="187"/>
      <c r="AL38" s="187"/>
      <c r="AM38" s="187"/>
      <c r="AN38" s="187"/>
      <c r="AO38" s="188"/>
      <c r="AR38" s="186"/>
      <c r="AS38" s="187"/>
      <c r="AT38" s="187"/>
      <c r="AU38" s="187"/>
      <c r="AV38" s="187"/>
      <c r="AW38" s="187"/>
      <c r="AX38" s="187"/>
      <c r="AY38" s="187"/>
      <c r="AZ38" s="187"/>
      <c r="BA38" s="187"/>
      <c r="BB38" s="187"/>
      <c r="BC38" s="187"/>
      <c r="BD38" s="187"/>
      <c r="BE38" s="187"/>
      <c r="BF38" s="188"/>
      <c r="BI38" s="186"/>
      <c r="BJ38" s="187"/>
      <c r="BK38" s="187"/>
      <c r="BL38" s="187"/>
      <c r="BM38" s="187"/>
      <c r="BN38" s="187"/>
      <c r="BO38" s="187"/>
      <c r="BP38" s="187"/>
      <c r="BQ38" s="187"/>
      <c r="BR38" s="187"/>
      <c r="BS38" s="187"/>
      <c r="BT38" s="187"/>
      <c r="BU38" s="187"/>
      <c r="BV38" s="187"/>
      <c r="BW38" s="188"/>
    </row>
    <row r="39" spans="2:75" ht="16.5" thickTop="1" thickBot="1">
      <c r="C39" s="206" t="s">
        <v>299</v>
      </c>
      <c r="D39" s="207"/>
      <c r="E39" s="207"/>
      <c r="F39" s="207"/>
      <c r="G39" s="207"/>
      <c r="H39" s="207"/>
      <c r="I39" s="207"/>
      <c r="J39" s="207"/>
      <c r="K39" s="207"/>
      <c r="L39" s="207"/>
      <c r="Z39" s="186"/>
      <c r="AA39" s="187"/>
      <c r="AB39" s="187"/>
      <c r="AC39" s="187"/>
      <c r="AD39" s="187"/>
      <c r="AE39" s="187"/>
      <c r="AF39" s="187"/>
      <c r="AG39" s="187"/>
      <c r="AH39" s="187"/>
      <c r="AI39" s="187"/>
      <c r="AJ39" s="187"/>
      <c r="AK39" s="187"/>
      <c r="AL39" s="187"/>
      <c r="AM39" s="187"/>
      <c r="AN39" s="187"/>
      <c r="AO39" s="188"/>
      <c r="AR39" s="186"/>
      <c r="AS39" s="187"/>
      <c r="AT39" s="187"/>
      <c r="AU39" s="187"/>
      <c r="AV39" s="187"/>
      <c r="AW39" s="187"/>
      <c r="AX39" s="187"/>
      <c r="AY39" s="187"/>
      <c r="AZ39" s="187"/>
      <c r="BA39" s="187"/>
      <c r="BB39" s="187"/>
      <c r="BC39" s="187"/>
      <c r="BD39" s="187"/>
      <c r="BE39" s="187"/>
      <c r="BF39" s="188"/>
      <c r="BI39" s="186"/>
      <c r="BJ39" s="187"/>
      <c r="BK39" s="187"/>
      <c r="BL39" s="187"/>
      <c r="BM39" s="187"/>
      <c r="BN39" s="187"/>
      <c r="BO39" s="187"/>
      <c r="BP39" s="187"/>
      <c r="BQ39" s="187"/>
      <c r="BR39" s="187"/>
      <c r="BS39" s="187"/>
      <c r="BT39" s="187"/>
      <c r="BU39" s="187"/>
      <c r="BV39" s="187"/>
      <c r="BW39" s="188"/>
    </row>
    <row r="40" spans="2:75" ht="14.25" thickTop="1" thickBot="1">
      <c r="C40" s="189" t="s">
        <v>266</v>
      </c>
      <c r="D40" s="191">
        <f>D22</f>
        <v>6374.8608000000004</v>
      </c>
      <c r="E40" s="191">
        <f t="shared" ref="E40:L40" si="15">E22</f>
        <v>6374.8608000000004</v>
      </c>
      <c r="F40" s="191">
        <f t="shared" si="15"/>
        <v>6374.8608000000004</v>
      </c>
      <c r="G40" s="191">
        <f t="shared" si="15"/>
        <v>3245.3836800000008</v>
      </c>
      <c r="H40" s="191">
        <f t="shared" si="15"/>
        <v>3245.3836800000008</v>
      </c>
      <c r="I40" s="191">
        <f t="shared" si="15"/>
        <v>3245.3836800000008</v>
      </c>
      <c r="J40" s="191">
        <f t="shared" si="15"/>
        <v>5331.7017600000008</v>
      </c>
      <c r="K40" s="191">
        <f t="shared" si="15"/>
        <v>5331.7017600000008</v>
      </c>
      <c r="L40" s="191">
        <f t="shared" si="15"/>
        <v>5331.7017600000008</v>
      </c>
      <c r="Z40" s="186"/>
      <c r="AA40" s="187"/>
      <c r="AB40" s="187"/>
      <c r="AC40" s="187"/>
      <c r="AD40" s="187"/>
      <c r="AE40" s="187"/>
      <c r="AF40" s="187"/>
      <c r="AG40" s="187"/>
      <c r="AH40" s="187"/>
      <c r="AI40" s="187"/>
      <c r="AJ40" s="187"/>
      <c r="AK40" s="187"/>
      <c r="AL40" s="187"/>
      <c r="AM40" s="187"/>
      <c r="AN40" s="187"/>
      <c r="AO40" s="188"/>
      <c r="AR40" s="186"/>
      <c r="AS40" s="187"/>
      <c r="AT40" s="187"/>
      <c r="AU40" s="187"/>
      <c r="AV40" s="187"/>
      <c r="AW40" s="187"/>
      <c r="AX40" s="187"/>
      <c r="AY40" s="187"/>
      <c r="AZ40" s="187"/>
      <c r="BA40" s="187"/>
      <c r="BB40" s="187"/>
      <c r="BC40" s="187"/>
      <c r="BD40" s="187"/>
      <c r="BE40" s="187"/>
      <c r="BF40" s="188"/>
      <c r="BI40" s="186"/>
      <c r="BJ40" s="187"/>
      <c r="BK40" s="187"/>
      <c r="BL40" s="187"/>
      <c r="BM40" s="187"/>
      <c r="BN40" s="187"/>
      <c r="BO40" s="187"/>
      <c r="BP40" s="187"/>
      <c r="BQ40" s="187"/>
      <c r="BR40" s="187"/>
      <c r="BS40" s="187"/>
      <c r="BT40" s="187"/>
      <c r="BU40" s="187"/>
      <c r="BV40" s="187"/>
      <c r="BW40" s="188"/>
    </row>
    <row r="41" spans="2:75" ht="14.25" thickTop="1" thickBot="1">
      <c r="C41" s="189" t="s">
        <v>267</v>
      </c>
      <c r="D41" s="191">
        <f t="shared" ref="D41:L41" si="16">O22</f>
        <v>5215.7952000000005</v>
      </c>
      <c r="E41" s="191">
        <f t="shared" si="16"/>
        <v>4563.8207999999995</v>
      </c>
      <c r="F41" s="191">
        <f t="shared" si="16"/>
        <v>3911.8464000000004</v>
      </c>
      <c r="G41" s="191">
        <f t="shared" si="16"/>
        <v>2655.3139200000005</v>
      </c>
      <c r="H41" s="191">
        <f t="shared" si="16"/>
        <v>2323.39968</v>
      </c>
      <c r="I41" s="191">
        <f t="shared" si="16"/>
        <v>1991.4854400000004</v>
      </c>
      <c r="J41" s="191">
        <f t="shared" si="16"/>
        <v>4362.3014400000002</v>
      </c>
      <c r="K41" s="191">
        <f t="shared" si="16"/>
        <v>3817.0137599999998</v>
      </c>
      <c r="L41" s="191">
        <f t="shared" si="16"/>
        <v>3271.7260799999999</v>
      </c>
      <c r="Z41" s="186"/>
      <c r="AA41" s="187"/>
      <c r="AB41" s="187"/>
      <c r="AC41" s="187"/>
      <c r="AD41" s="187"/>
      <c r="AE41" s="187"/>
      <c r="AF41" s="187"/>
      <c r="AG41" s="187"/>
      <c r="AH41" s="187"/>
      <c r="AI41" s="187"/>
      <c r="AJ41" s="187"/>
      <c r="AK41" s="187"/>
      <c r="AL41" s="187"/>
      <c r="AM41" s="187"/>
      <c r="AN41" s="187"/>
      <c r="AO41" s="188"/>
      <c r="AR41" s="186"/>
      <c r="AS41" s="187"/>
      <c r="AT41" s="187"/>
      <c r="AU41" s="187"/>
      <c r="AV41" s="187"/>
      <c r="AW41" s="187"/>
      <c r="AX41" s="187"/>
      <c r="AY41" s="187"/>
      <c r="AZ41" s="187"/>
      <c r="BA41" s="187"/>
      <c r="BB41" s="187"/>
      <c r="BC41" s="187"/>
      <c r="BD41" s="187"/>
      <c r="BE41" s="187"/>
      <c r="BF41" s="188"/>
      <c r="BI41" s="186"/>
      <c r="BJ41" s="187"/>
      <c r="BK41" s="187"/>
      <c r="BL41" s="187"/>
      <c r="BM41" s="187"/>
      <c r="BN41" s="187"/>
      <c r="BO41" s="187"/>
      <c r="BP41" s="187"/>
      <c r="BQ41" s="187"/>
      <c r="BR41" s="187"/>
      <c r="BS41" s="187"/>
      <c r="BT41" s="187"/>
      <c r="BU41" s="187"/>
      <c r="BV41" s="187"/>
      <c r="BW41" s="188"/>
    </row>
    <row r="42" spans="2:75" ht="16.5" customHeight="1" thickTop="1" thickBot="1">
      <c r="C42" s="182" t="s">
        <v>202</v>
      </c>
      <c r="D42" s="208">
        <f>D40-D41</f>
        <v>1159.0655999999999</v>
      </c>
      <c r="E42" s="208">
        <f t="shared" ref="E42:L42" si="17">E40-E41</f>
        <v>1811.0400000000009</v>
      </c>
      <c r="F42" s="208">
        <f t="shared" si="17"/>
        <v>2463.0144</v>
      </c>
      <c r="G42" s="208">
        <f t="shared" si="17"/>
        <v>590.06976000000031</v>
      </c>
      <c r="H42" s="208">
        <f t="shared" si="17"/>
        <v>921.98400000000083</v>
      </c>
      <c r="I42" s="208">
        <f t="shared" si="17"/>
        <v>1253.8982400000004</v>
      </c>
      <c r="J42" s="208">
        <f t="shared" si="17"/>
        <v>969.40032000000065</v>
      </c>
      <c r="K42" s="208">
        <f t="shared" si="17"/>
        <v>1514.688000000001</v>
      </c>
      <c r="L42" s="208">
        <f t="shared" si="17"/>
        <v>2059.9756800000009</v>
      </c>
      <c r="Z42" s="186"/>
      <c r="AA42" s="187"/>
      <c r="AB42" s="187"/>
      <c r="AC42" s="187"/>
      <c r="AD42" s="187"/>
      <c r="AE42" s="187"/>
      <c r="AF42" s="187"/>
      <c r="AG42" s="187"/>
      <c r="AH42" s="187"/>
      <c r="AI42" s="187"/>
      <c r="AJ42" s="187"/>
      <c r="AK42" s="187"/>
      <c r="AL42" s="187"/>
      <c r="AM42" s="187"/>
      <c r="AN42" s="187"/>
      <c r="AO42" s="188"/>
      <c r="AR42" s="186"/>
      <c r="AS42" s="187"/>
      <c r="AT42" s="187"/>
      <c r="AU42" s="187"/>
      <c r="AV42" s="187"/>
      <c r="AW42" s="187"/>
      <c r="AX42" s="187"/>
      <c r="AY42" s="187"/>
      <c r="AZ42" s="187"/>
      <c r="BA42" s="187"/>
      <c r="BB42" s="187"/>
      <c r="BC42" s="187"/>
      <c r="BD42" s="187"/>
      <c r="BE42" s="187"/>
      <c r="BF42" s="188"/>
      <c r="BI42" s="186"/>
      <c r="BJ42" s="187"/>
      <c r="BK42" s="187"/>
      <c r="BL42" s="346" t="s">
        <v>300</v>
      </c>
      <c r="BM42" s="346"/>
      <c r="BN42" s="346"/>
      <c r="BO42" s="346"/>
      <c r="BP42" s="346"/>
      <c r="BQ42" s="346"/>
      <c r="BR42" s="346"/>
      <c r="BS42" s="346"/>
      <c r="BT42" s="346"/>
      <c r="BU42" s="187"/>
      <c r="BV42" s="187"/>
      <c r="BW42" s="188"/>
    </row>
    <row r="43" spans="2:75" ht="16.5" thickTop="1" thickBot="1">
      <c r="C43" s="182" t="s">
        <v>301</v>
      </c>
      <c r="D43" s="209">
        <f>D42/D40</f>
        <v>0.1818181818181818</v>
      </c>
      <c r="E43" s="209">
        <f t="shared" ref="E43:L43" si="18">E42/E40</f>
        <v>0.28409090909090923</v>
      </c>
      <c r="F43" s="209">
        <f t="shared" si="18"/>
        <v>0.38636363636363635</v>
      </c>
      <c r="G43" s="209">
        <f t="shared" si="18"/>
        <v>0.18181818181818188</v>
      </c>
      <c r="H43" s="209">
        <f t="shared" si="18"/>
        <v>0.28409090909090928</v>
      </c>
      <c r="I43" s="209">
        <f t="shared" si="18"/>
        <v>0.38636363636363641</v>
      </c>
      <c r="J43" s="209">
        <f t="shared" si="18"/>
        <v>0.18181818181818191</v>
      </c>
      <c r="K43" s="209">
        <f t="shared" si="18"/>
        <v>0.28409090909090923</v>
      </c>
      <c r="L43" s="209">
        <f t="shared" si="18"/>
        <v>0.38636363636363646</v>
      </c>
      <c r="Z43" s="186"/>
      <c r="AA43" s="187"/>
      <c r="AB43" s="187"/>
      <c r="AC43" s="187"/>
      <c r="AD43" s="187"/>
      <c r="AE43" s="187"/>
      <c r="AF43" s="187"/>
      <c r="AG43" s="187"/>
      <c r="AH43" s="187"/>
      <c r="AI43" s="187"/>
      <c r="AJ43" s="187"/>
      <c r="AK43" s="187"/>
      <c r="AL43" s="187"/>
      <c r="AM43" s="187"/>
      <c r="AN43" s="187"/>
      <c r="AO43" s="188"/>
      <c r="AR43" s="186"/>
      <c r="AS43" s="187"/>
      <c r="AT43" s="187"/>
      <c r="AU43" s="187"/>
      <c r="AV43" s="187"/>
      <c r="AW43" s="187"/>
      <c r="AX43" s="187"/>
      <c r="AY43" s="187"/>
      <c r="AZ43" s="187"/>
      <c r="BA43" s="187"/>
      <c r="BB43" s="187"/>
      <c r="BC43" s="187"/>
      <c r="BD43" s="187"/>
      <c r="BE43" s="187"/>
      <c r="BF43" s="188"/>
      <c r="BI43" s="186"/>
      <c r="BJ43" s="187"/>
      <c r="BK43" s="187"/>
      <c r="BL43" s="346"/>
      <c r="BM43" s="346"/>
      <c r="BN43" s="346"/>
      <c r="BO43" s="346"/>
      <c r="BP43" s="346"/>
      <c r="BQ43" s="346"/>
      <c r="BR43" s="346"/>
      <c r="BS43" s="346"/>
      <c r="BT43" s="346"/>
      <c r="BU43" s="187"/>
      <c r="BV43" s="187"/>
      <c r="BW43" s="188"/>
    </row>
    <row r="44" spans="2:75" ht="16.5" thickTop="1" thickBot="1">
      <c r="C44" s="206" t="s">
        <v>288</v>
      </c>
      <c r="D44" s="207"/>
      <c r="E44" s="207"/>
      <c r="F44" s="207"/>
      <c r="G44" s="207"/>
      <c r="H44" s="207"/>
      <c r="I44" s="207"/>
      <c r="J44" s="207"/>
      <c r="K44" s="207"/>
      <c r="L44" s="207"/>
      <c r="Z44" s="186"/>
      <c r="AA44" s="187"/>
      <c r="AB44" s="187"/>
      <c r="AC44" s="187"/>
      <c r="AD44" s="187"/>
      <c r="AE44" s="187"/>
      <c r="AF44" s="187"/>
      <c r="AG44" s="187"/>
      <c r="AH44" s="187"/>
      <c r="AI44" s="187"/>
      <c r="AJ44" s="187"/>
      <c r="AK44" s="187"/>
      <c r="AL44" s="187"/>
      <c r="AM44" s="187"/>
      <c r="AN44" s="187"/>
      <c r="AO44" s="188"/>
      <c r="AR44" s="186"/>
      <c r="AS44" s="187"/>
      <c r="AT44" s="187"/>
      <c r="AU44" s="187"/>
      <c r="AV44" s="187"/>
      <c r="AW44" s="187"/>
      <c r="AX44" s="187"/>
      <c r="AY44" s="187"/>
      <c r="AZ44" s="187"/>
      <c r="BA44" s="187"/>
      <c r="BB44" s="187"/>
      <c r="BC44" s="187"/>
      <c r="BD44" s="187"/>
      <c r="BE44" s="187"/>
      <c r="BF44" s="188"/>
      <c r="BI44" s="186"/>
      <c r="BJ44" s="187"/>
      <c r="BK44" s="187"/>
      <c r="BL44" s="346"/>
      <c r="BM44" s="346"/>
      <c r="BN44" s="346"/>
      <c r="BO44" s="346"/>
      <c r="BP44" s="346"/>
      <c r="BQ44" s="346"/>
      <c r="BR44" s="346"/>
      <c r="BS44" s="346"/>
      <c r="BT44" s="346"/>
      <c r="BU44" s="187"/>
      <c r="BV44" s="187"/>
      <c r="BW44" s="188"/>
    </row>
    <row r="45" spans="2:75" ht="14.25" thickTop="1" thickBot="1">
      <c r="C45" s="189" t="s">
        <v>266</v>
      </c>
      <c r="D45" s="196">
        <f>D23</f>
        <v>97.726616063999998</v>
      </c>
      <c r="E45" s="196">
        <f t="shared" ref="E45:L45" si="19">E23</f>
        <v>97.726616063999998</v>
      </c>
      <c r="F45" s="196">
        <f t="shared" si="19"/>
        <v>97.726616063999998</v>
      </c>
      <c r="G45" s="196">
        <f t="shared" si="19"/>
        <v>49.751731814400017</v>
      </c>
      <c r="H45" s="196">
        <f t="shared" si="19"/>
        <v>49.751731814400017</v>
      </c>
      <c r="I45" s="196">
        <f t="shared" si="19"/>
        <v>49.751731814400017</v>
      </c>
      <c r="J45" s="196">
        <f t="shared" si="19"/>
        <v>81.734987980800014</v>
      </c>
      <c r="K45" s="196">
        <f t="shared" si="19"/>
        <v>81.734987980800014</v>
      </c>
      <c r="L45" s="196">
        <f t="shared" si="19"/>
        <v>81.734987980800014</v>
      </c>
      <c r="Z45" s="186"/>
      <c r="AA45" s="187"/>
      <c r="AB45" s="187"/>
      <c r="AC45" s="187"/>
      <c r="AD45" s="187"/>
      <c r="AE45" s="187"/>
      <c r="AF45" s="187"/>
      <c r="AG45" s="187"/>
      <c r="AH45" s="187"/>
      <c r="AI45" s="187"/>
      <c r="AJ45" s="187"/>
      <c r="AK45" s="187"/>
      <c r="AL45" s="187"/>
      <c r="AM45" s="187"/>
      <c r="AN45" s="187"/>
      <c r="AO45" s="188"/>
      <c r="AR45" s="186"/>
      <c r="AS45" s="187"/>
      <c r="AT45" s="187"/>
      <c r="AU45" s="187"/>
      <c r="AV45" s="187"/>
      <c r="AW45" s="187"/>
      <c r="AX45" s="187"/>
      <c r="AY45" s="187"/>
      <c r="AZ45" s="187"/>
      <c r="BA45" s="187"/>
      <c r="BB45" s="187"/>
      <c r="BC45" s="187"/>
      <c r="BD45" s="187"/>
      <c r="BE45" s="187"/>
      <c r="BF45" s="188"/>
      <c r="BI45" s="186"/>
      <c r="BJ45" s="187"/>
      <c r="BK45" s="187"/>
      <c r="BL45" s="346"/>
      <c r="BM45" s="346"/>
      <c r="BN45" s="346"/>
      <c r="BO45" s="346"/>
      <c r="BP45" s="346"/>
      <c r="BQ45" s="346"/>
      <c r="BR45" s="346"/>
      <c r="BS45" s="346"/>
      <c r="BT45" s="346"/>
      <c r="BU45" s="187"/>
      <c r="BV45" s="187"/>
      <c r="BW45" s="188"/>
    </row>
    <row r="46" spans="2:75" ht="14.25" customHeight="1" thickTop="1" thickBot="1">
      <c r="C46" s="189" t="s">
        <v>267</v>
      </c>
      <c r="D46" s="196">
        <f t="shared" ref="D46:L46" si="20">O23</f>
        <v>79.958140416000006</v>
      </c>
      <c r="E46" s="196">
        <f t="shared" si="20"/>
        <v>69.963372863999993</v>
      </c>
      <c r="F46" s="196">
        <f t="shared" si="20"/>
        <v>59.968605312000008</v>
      </c>
      <c r="G46" s="196">
        <f t="shared" si="20"/>
        <v>40.705962393600004</v>
      </c>
      <c r="H46" s="196">
        <f t="shared" si="20"/>
        <v>35.6177170944</v>
      </c>
      <c r="I46" s="196">
        <f t="shared" si="20"/>
        <v>30.529471795200006</v>
      </c>
      <c r="J46" s="196">
        <f t="shared" si="20"/>
        <v>66.874081075199996</v>
      </c>
      <c r="K46" s="196">
        <f t="shared" si="20"/>
        <v>58.5148209408</v>
      </c>
      <c r="L46" s="196">
        <f t="shared" si="20"/>
        <v>50.155560806399997</v>
      </c>
      <c r="Z46" s="186"/>
      <c r="AA46" s="187"/>
      <c r="AB46" s="187"/>
      <c r="AC46" s="343" t="s">
        <v>302</v>
      </c>
      <c r="AD46" s="343"/>
      <c r="AE46" s="343"/>
      <c r="AF46" s="343"/>
      <c r="AG46" s="343"/>
      <c r="AH46" s="343"/>
      <c r="AI46" s="343"/>
      <c r="AJ46" s="343"/>
      <c r="AK46" s="343"/>
      <c r="AL46" s="187"/>
      <c r="AM46" s="187"/>
      <c r="AN46" s="187"/>
      <c r="AO46" s="188"/>
      <c r="AR46" s="186"/>
      <c r="AS46" s="187"/>
      <c r="AT46" s="187"/>
      <c r="AU46" s="187"/>
      <c r="AV46" s="187"/>
      <c r="AW46" s="187"/>
      <c r="AX46" s="187"/>
      <c r="AY46" s="187"/>
      <c r="AZ46" s="187"/>
      <c r="BA46" s="187"/>
      <c r="BB46" s="187"/>
      <c r="BC46" s="187"/>
      <c r="BD46" s="187"/>
      <c r="BE46" s="187"/>
      <c r="BF46" s="188"/>
      <c r="BI46" s="186"/>
      <c r="BJ46" s="187"/>
      <c r="BK46" s="187"/>
      <c r="BL46" s="346"/>
      <c r="BM46" s="346"/>
      <c r="BN46" s="346"/>
      <c r="BO46" s="346"/>
      <c r="BP46" s="346"/>
      <c r="BQ46" s="346"/>
      <c r="BR46" s="346"/>
      <c r="BS46" s="346"/>
      <c r="BT46" s="346"/>
      <c r="BU46" s="187"/>
      <c r="BV46" s="187"/>
      <c r="BW46" s="188"/>
    </row>
    <row r="47" spans="2:75" ht="16.5" thickTop="1" thickBot="1">
      <c r="C47" s="182" t="s">
        <v>202</v>
      </c>
      <c r="D47" s="210">
        <f>D45-D46</f>
        <v>17.768475647999992</v>
      </c>
      <c r="E47" s="210">
        <f t="shared" ref="E47:L47" si="21">E45-E46</f>
        <v>27.763243200000005</v>
      </c>
      <c r="F47" s="210">
        <f t="shared" si="21"/>
        <v>37.75801075199999</v>
      </c>
      <c r="G47" s="210">
        <f t="shared" si="21"/>
        <v>9.0457694208000134</v>
      </c>
      <c r="H47" s="210">
        <f t="shared" si="21"/>
        <v>14.134014720000017</v>
      </c>
      <c r="I47" s="210">
        <f t="shared" si="21"/>
        <v>19.222260019200011</v>
      </c>
      <c r="J47" s="210">
        <f t="shared" si="21"/>
        <v>14.860906905600018</v>
      </c>
      <c r="K47" s="210">
        <f t="shared" si="21"/>
        <v>23.220167040000014</v>
      </c>
      <c r="L47" s="210">
        <f t="shared" si="21"/>
        <v>31.579427174400017</v>
      </c>
      <c r="Z47" s="186"/>
      <c r="AA47" s="187"/>
      <c r="AB47" s="187"/>
      <c r="AC47" s="343"/>
      <c r="AD47" s="343"/>
      <c r="AE47" s="343"/>
      <c r="AF47" s="343"/>
      <c r="AG47" s="343"/>
      <c r="AH47" s="343"/>
      <c r="AI47" s="343"/>
      <c r="AJ47" s="343"/>
      <c r="AK47" s="343"/>
      <c r="AL47" s="187"/>
      <c r="AM47" s="187"/>
      <c r="AN47" s="187"/>
      <c r="AO47" s="188"/>
      <c r="AR47" s="186"/>
      <c r="AS47" s="187"/>
      <c r="AT47" s="187"/>
      <c r="AU47" s="187"/>
      <c r="AV47" s="187"/>
      <c r="AW47" s="187"/>
      <c r="AX47" s="187"/>
      <c r="AY47" s="187"/>
      <c r="AZ47" s="187"/>
      <c r="BA47" s="187"/>
      <c r="BB47" s="187"/>
      <c r="BC47" s="187"/>
      <c r="BD47" s="187"/>
      <c r="BE47" s="187"/>
      <c r="BF47" s="188"/>
      <c r="BI47" s="186"/>
      <c r="BJ47" s="187"/>
      <c r="BK47" s="187"/>
      <c r="BL47" s="346"/>
      <c r="BM47" s="346"/>
      <c r="BN47" s="346"/>
      <c r="BO47" s="346"/>
      <c r="BP47" s="346"/>
      <c r="BQ47" s="346"/>
      <c r="BR47" s="346"/>
      <c r="BS47" s="346"/>
      <c r="BT47" s="346"/>
      <c r="BU47" s="187"/>
      <c r="BV47" s="187"/>
      <c r="BW47" s="188"/>
    </row>
    <row r="48" spans="2:75" ht="16.5" thickTop="1" thickBot="1">
      <c r="C48" s="182" t="s">
        <v>301</v>
      </c>
      <c r="D48" s="209">
        <f>D47/D45</f>
        <v>0.18181818181818174</v>
      </c>
      <c r="E48" s="209">
        <f t="shared" ref="E48:L48" si="22">E47/E45</f>
        <v>0.28409090909090917</v>
      </c>
      <c r="F48" s="209">
        <f t="shared" si="22"/>
        <v>0.38636363636363624</v>
      </c>
      <c r="G48" s="209">
        <f t="shared" si="22"/>
        <v>0.18181818181818202</v>
      </c>
      <c r="H48" s="209">
        <f t="shared" si="22"/>
        <v>0.28409090909090934</v>
      </c>
      <c r="I48" s="209">
        <f t="shared" si="22"/>
        <v>0.38636363636363646</v>
      </c>
      <c r="J48" s="209">
        <f t="shared" si="22"/>
        <v>0.18181818181818202</v>
      </c>
      <c r="K48" s="209">
        <f t="shared" si="22"/>
        <v>0.28409090909090923</v>
      </c>
      <c r="L48" s="209">
        <f t="shared" si="22"/>
        <v>0.38636363636363652</v>
      </c>
      <c r="Z48" s="186"/>
      <c r="AA48" s="187"/>
      <c r="AB48" s="187"/>
      <c r="AC48" s="343"/>
      <c r="AD48" s="343"/>
      <c r="AE48" s="343"/>
      <c r="AF48" s="343"/>
      <c r="AG48" s="343"/>
      <c r="AH48" s="343"/>
      <c r="AI48" s="343"/>
      <c r="AJ48" s="343"/>
      <c r="AK48" s="343"/>
      <c r="AL48" s="187"/>
      <c r="AM48" s="187"/>
      <c r="AN48" s="187"/>
      <c r="AO48" s="188"/>
      <c r="AR48" s="186"/>
      <c r="AS48" s="187"/>
      <c r="AT48" s="187"/>
      <c r="AU48" s="187"/>
      <c r="AV48" s="187"/>
      <c r="AW48" s="187"/>
      <c r="AX48" s="187"/>
      <c r="AY48" s="187"/>
      <c r="AZ48" s="187"/>
      <c r="BA48" s="187"/>
      <c r="BB48" s="187"/>
      <c r="BC48" s="187"/>
      <c r="BD48" s="187"/>
      <c r="BE48" s="187"/>
      <c r="BF48" s="188"/>
      <c r="BI48" s="186"/>
      <c r="BJ48" s="187"/>
      <c r="BK48" s="187"/>
      <c r="BL48" s="187"/>
      <c r="BM48" s="187"/>
      <c r="BN48" s="187"/>
      <c r="BO48" s="187"/>
      <c r="BP48" s="187"/>
      <c r="BQ48" s="187"/>
      <c r="BR48" s="187"/>
      <c r="BS48" s="187"/>
      <c r="BT48" s="187"/>
      <c r="BU48" s="187"/>
      <c r="BV48" s="187"/>
      <c r="BW48" s="188"/>
    </row>
    <row r="49" spans="3:75" ht="16.5" thickTop="1" thickBot="1">
      <c r="C49" s="206" t="s">
        <v>303</v>
      </c>
      <c r="D49" s="207"/>
      <c r="E49" s="207"/>
      <c r="F49" s="207"/>
      <c r="G49" s="207"/>
      <c r="H49" s="207"/>
      <c r="I49" s="207"/>
      <c r="J49" s="207"/>
      <c r="K49" s="207"/>
      <c r="L49" s="207"/>
      <c r="Z49" s="186"/>
      <c r="AA49" s="187"/>
      <c r="AB49" s="187"/>
      <c r="AC49" s="343"/>
      <c r="AD49" s="343"/>
      <c r="AE49" s="343"/>
      <c r="AF49" s="343"/>
      <c r="AG49" s="343"/>
      <c r="AH49" s="343"/>
      <c r="AI49" s="343"/>
      <c r="AJ49" s="343"/>
      <c r="AK49" s="343"/>
      <c r="AL49" s="187"/>
      <c r="AM49" s="187"/>
      <c r="AN49" s="187"/>
      <c r="AO49" s="188"/>
      <c r="AR49" s="186"/>
      <c r="AS49" s="187"/>
      <c r="AT49" s="187"/>
      <c r="AU49" s="187"/>
      <c r="AV49" s="187"/>
      <c r="AW49" s="187"/>
      <c r="AX49" s="187"/>
      <c r="AY49" s="187"/>
      <c r="AZ49" s="187"/>
      <c r="BA49" s="187"/>
      <c r="BB49" s="187"/>
      <c r="BC49" s="187"/>
      <c r="BD49" s="187"/>
      <c r="BE49" s="187"/>
      <c r="BF49" s="188"/>
      <c r="BI49" s="202"/>
      <c r="BJ49" s="203"/>
      <c r="BK49" s="203"/>
      <c r="BL49" s="203"/>
      <c r="BM49" s="203"/>
      <c r="BN49" s="203"/>
      <c r="BO49" s="203"/>
      <c r="BP49" s="203"/>
      <c r="BQ49" s="203"/>
      <c r="BR49" s="203"/>
      <c r="BS49" s="203"/>
      <c r="BT49" s="203"/>
      <c r="BU49" s="203"/>
      <c r="BV49" s="203"/>
      <c r="BW49" s="204"/>
    </row>
    <row r="50" spans="3:75" ht="14.25" thickTop="1" thickBot="1">
      <c r="C50" s="189" t="s">
        <v>266</v>
      </c>
      <c r="D50" s="191">
        <f>D25</f>
        <v>4660.0232448000006</v>
      </c>
      <c r="E50" s="191">
        <f t="shared" ref="E50:L50" si="23">E25</f>
        <v>4660.0232448000006</v>
      </c>
      <c r="F50" s="191">
        <f t="shared" si="23"/>
        <v>4660.0232448000006</v>
      </c>
      <c r="G50" s="191">
        <f t="shared" si="23"/>
        <v>2372.3754700800005</v>
      </c>
      <c r="H50" s="191">
        <f t="shared" si="23"/>
        <v>2372.3754700800005</v>
      </c>
      <c r="I50" s="191">
        <f t="shared" si="23"/>
        <v>2372.3754700800005</v>
      </c>
      <c r="J50" s="191">
        <f t="shared" si="23"/>
        <v>3897.4739865600004</v>
      </c>
      <c r="K50" s="191">
        <f t="shared" si="23"/>
        <v>3897.4739865600004</v>
      </c>
      <c r="L50" s="191">
        <f t="shared" si="23"/>
        <v>3897.4739865600004</v>
      </c>
      <c r="Z50" s="186"/>
      <c r="AA50" s="187"/>
      <c r="AB50" s="187"/>
      <c r="AC50" s="343"/>
      <c r="AD50" s="343"/>
      <c r="AE50" s="343"/>
      <c r="AF50" s="343"/>
      <c r="AG50" s="343"/>
      <c r="AH50" s="343"/>
      <c r="AI50" s="343"/>
      <c r="AJ50" s="343"/>
      <c r="AK50" s="343"/>
      <c r="AL50" s="187"/>
      <c r="AM50" s="187"/>
      <c r="AN50" s="187"/>
      <c r="AO50" s="188"/>
      <c r="AR50" s="186"/>
      <c r="AS50" s="187"/>
      <c r="AT50" s="187"/>
      <c r="AU50" s="187"/>
      <c r="AV50" s="187"/>
      <c r="AW50" s="187"/>
      <c r="AX50" s="187"/>
      <c r="AY50" s="187"/>
      <c r="AZ50" s="187"/>
      <c r="BA50" s="187"/>
      <c r="BB50" s="187"/>
      <c r="BC50" s="187"/>
      <c r="BD50" s="187"/>
      <c r="BE50" s="187"/>
      <c r="BF50" s="188"/>
    </row>
    <row r="51" spans="3:75" ht="14.25" thickTop="1" thickBot="1">
      <c r="C51" s="189" t="s">
        <v>267</v>
      </c>
      <c r="D51" s="191">
        <f t="shared" ref="D51:L51" si="24">O25</f>
        <v>3937.9253760000006</v>
      </c>
      <c r="E51" s="191">
        <f t="shared" si="24"/>
        <v>3507.2962847999997</v>
      </c>
      <c r="F51" s="191">
        <f t="shared" si="24"/>
        <v>3059.0638848000003</v>
      </c>
      <c r="G51" s="191">
        <f t="shared" si="24"/>
        <v>2004.7620096000003</v>
      </c>
      <c r="H51" s="191">
        <f t="shared" si="24"/>
        <v>1785.5326540800002</v>
      </c>
      <c r="I51" s="191">
        <f t="shared" si="24"/>
        <v>1557.3416140800005</v>
      </c>
      <c r="J51" s="191">
        <f t="shared" si="24"/>
        <v>3293.5375872</v>
      </c>
      <c r="K51" s="191">
        <f t="shared" si="24"/>
        <v>2933.37507456</v>
      </c>
      <c r="L51" s="191">
        <f t="shared" si="24"/>
        <v>2558.4897945600001</v>
      </c>
      <c r="Z51" s="186"/>
      <c r="AA51" s="187"/>
      <c r="AB51" s="187"/>
      <c r="AC51" s="187"/>
      <c r="AD51" s="187"/>
      <c r="AE51" s="187"/>
      <c r="AF51" s="187"/>
      <c r="AG51" s="187"/>
      <c r="AH51" s="187"/>
      <c r="AI51" s="187"/>
      <c r="AJ51" s="187"/>
      <c r="AK51" s="187"/>
      <c r="AL51" s="187"/>
      <c r="AM51" s="187"/>
      <c r="AN51" s="187"/>
      <c r="AO51" s="188"/>
      <c r="AR51" s="186"/>
      <c r="AS51" s="187"/>
      <c r="AT51" s="187"/>
      <c r="AU51" s="187"/>
      <c r="AV51" s="187"/>
      <c r="AW51" s="187"/>
      <c r="AX51" s="187"/>
      <c r="AY51" s="187"/>
      <c r="AZ51" s="187"/>
      <c r="BA51" s="187"/>
      <c r="BB51" s="187"/>
      <c r="BC51" s="187"/>
      <c r="BD51" s="187"/>
      <c r="BE51" s="187"/>
      <c r="BF51" s="188"/>
    </row>
    <row r="52" spans="3:75" ht="16.5" thickTop="1" thickBot="1">
      <c r="C52" s="182" t="s">
        <v>202</v>
      </c>
      <c r="D52" s="208">
        <f>D50-D51</f>
        <v>722.09786880000001</v>
      </c>
      <c r="E52" s="208">
        <f t="shared" ref="E52:L52" si="25">E50-E51</f>
        <v>1152.7269600000009</v>
      </c>
      <c r="F52" s="208">
        <f t="shared" si="25"/>
        <v>1600.9593600000003</v>
      </c>
      <c r="G52" s="208">
        <f t="shared" si="25"/>
        <v>367.61346048000019</v>
      </c>
      <c r="H52" s="208">
        <f t="shared" si="25"/>
        <v>586.84281600000031</v>
      </c>
      <c r="I52" s="208">
        <f t="shared" si="25"/>
        <v>815.03385600000001</v>
      </c>
      <c r="J52" s="208">
        <f t="shared" si="25"/>
        <v>603.93639936000045</v>
      </c>
      <c r="K52" s="208">
        <f t="shared" si="25"/>
        <v>964.09891200000038</v>
      </c>
      <c r="L52" s="208">
        <f t="shared" si="25"/>
        <v>1338.9841920000003</v>
      </c>
      <c r="Z52" s="186"/>
      <c r="AA52" s="187"/>
      <c r="AB52" s="187"/>
      <c r="AC52" s="187"/>
      <c r="AD52" s="187"/>
      <c r="AE52" s="187"/>
      <c r="AF52" s="187"/>
      <c r="AG52" s="187"/>
      <c r="AH52" s="187"/>
      <c r="AI52" s="187"/>
      <c r="AJ52" s="187"/>
      <c r="AK52" s="187"/>
      <c r="AL52" s="187"/>
      <c r="AM52" s="187"/>
      <c r="AN52" s="187"/>
      <c r="AO52" s="188"/>
      <c r="AR52" s="186"/>
      <c r="AS52" s="187"/>
      <c r="AT52" s="187"/>
      <c r="AU52" s="187"/>
      <c r="AV52" s="187"/>
      <c r="AW52" s="187"/>
      <c r="AX52" s="187"/>
      <c r="AY52" s="187"/>
      <c r="AZ52" s="187"/>
      <c r="BA52" s="187"/>
      <c r="BB52" s="187"/>
      <c r="BC52" s="187"/>
      <c r="BD52" s="187"/>
      <c r="BE52" s="187"/>
      <c r="BF52" s="188"/>
    </row>
    <row r="53" spans="3:75" ht="16.5" thickTop="1" thickBot="1">
      <c r="C53" s="182" t="s">
        <v>301</v>
      </c>
      <c r="D53" s="211">
        <f>D52/D50</f>
        <v>0.15495585126228079</v>
      </c>
      <c r="E53" s="211">
        <f t="shared" ref="E53:L53" si="26">E52/E50</f>
        <v>0.24736506653401333</v>
      </c>
      <c r="F53" s="211">
        <f t="shared" si="26"/>
        <v>0.34355179704016914</v>
      </c>
      <c r="G53" s="211">
        <f t="shared" si="26"/>
        <v>0.15495585126228087</v>
      </c>
      <c r="H53" s="211">
        <f t="shared" si="26"/>
        <v>0.24736506653401327</v>
      </c>
      <c r="I53" s="211">
        <f t="shared" si="26"/>
        <v>0.34355179704016908</v>
      </c>
      <c r="J53" s="211">
        <f t="shared" si="26"/>
        <v>0.1549558512622809</v>
      </c>
      <c r="K53" s="211">
        <f t="shared" si="26"/>
        <v>0.24736506653401324</v>
      </c>
      <c r="L53" s="211">
        <f t="shared" si="26"/>
        <v>0.34355179704016919</v>
      </c>
      <c r="Z53" s="186"/>
      <c r="AA53" s="187"/>
      <c r="AB53" s="187"/>
      <c r="AC53" s="187"/>
      <c r="AD53" s="187"/>
      <c r="AE53" s="187"/>
      <c r="AF53" s="187"/>
      <c r="AG53" s="187"/>
      <c r="AH53" s="187"/>
      <c r="AI53" s="187"/>
      <c r="AJ53" s="187"/>
      <c r="AK53" s="187"/>
      <c r="AL53" s="187"/>
      <c r="AM53" s="187"/>
      <c r="AN53" s="187"/>
      <c r="AO53" s="188"/>
      <c r="AR53" s="186"/>
      <c r="AS53" s="187"/>
      <c r="AT53" s="187"/>
      <c r="AU53" s="187"/>
      <c r="AV53" s="187"/>
      <c r="AW53" s="187"/>
      <c r="AX53" s="187"/>
      <c r="AY53" s="187"/>
      <c r="AZ53" s="187"/>
      <c r="BA53" s="187"/>
      <c r="BB53" s="187"/>
      <c r="BC53" s="187"/>
      <c r="BD53" s="187"/>
      <c r="BE53" s="187"/>
      <c r="BF53" s="188"/>
    </row>
    <row r="54" spans="3:75" ht="16.5" thickTop="1" thickBot="1">
      <c r="C54" s="206" t="s">
        <v>304</v>
      </c>
      <c r="D54" s="207"/>
      <c r="E54" s="207"/>
      <c r="F54" s="207"/>
      <c r="G54" s="207"/>
      <c r="H54" s="207"/>
      <c r="I54" s="207"/>
      <c r="J54" s="207"/>
      <c r="K54" s="207"/>
      <c r="L54" s="207"/>
      <c r="Z54" s="186"/>
      <c r="AA54" s="187"/>
      <c r="AB54" s="187"/>
      <c r="AC54" s="187"/>
      <c r="AD54" s="187"/>
      <c r="AE54" s="187"/>
      <c r="AF54" s="187"/>
      <c r="AG54" s="187"/>
      <c r="AH54" s="187"/>
      <c r="AI54" s="187"/>
      <c r="AJ54" s="187"/>
      <c r="AK54" s="187"/>
      <c r="AL54" s="187"/>
      <c r="AM54" s="187"/>
      <c r="AN54" s="187"/>
      <c r="AO54" s="188"/>
      <c r="AR54" s="186"/>
      <c r="AS54" s="187"/>
      <c r="AT54" s="187"/>
      <c r="AU54" s="187"/>
      <c r="AV54" s="187"/>
      <c r="AW54" s="187"/>
      <c r="AX54" s="187"/>
      <c r="AY54" s="187"/>
      <c r="AZ54" s="187"/>
      <c r="BA54" s="187"/>
      <c r="BB54" s="187"/>
      <c r="BC54" s="187"/>
      <c r="BD54" s="187"/>
      <c r="BE54" s="187"/>
      <c r="BF54" s="188"/>
    </row>
    <row r="55" spans="3:75" ht="14.25" thickTop="1" thickBot="1">
      <c r="C55" s="189" t="s">
        <v>266</v>
      </c>
      <c r="D55" s="191">
        <f>D26</f>
        <v>349501.74336000002</v>
      </c>
      <c r="E55" s="191">
        <f t="shared" ref="E55:L55" si="27">E26</f>
        <v>349501.74336000002</v>
      </c>
      <c r="F55" s="191">
        <f t="shared" si="27"/>
        <v>349501.74336000002</v>
      </c>
      <c r="G55" s="191">
        <f t="shared" si="27"/>
        <v>177928.16025600003</v>
      </c>
      <c r="H55" s="191">
        <f t="shared" si="27"/>
        <v>177928.16025600003</v>
      </c>
      <c r="I55" s="191">
        <f t="shared" si="27"/>
        <v>177928.16025600003</v>
      </c>
      <c r="J55" s="191">
        <f t="shared" si="27"/>
        <v>292310.54899200005</v>
      </c>
      <c r="K55" s="191">
        <f t="shared" si="27"/>
        <v>292310.54899200005</v>
      </c>
      <c r="L55" s="191">
        <f t="shared" si="27"/>
        <v>292310.54899200005</v>
      </c>
      <c r="Z55" s="186"/>
      <c r="AA55" s="187"/>
      <c r="AB55" s="187"/>
      <c r="AC55" s="187"/>
      <c r="AD55" s="187"/>
      <c r="AE55" s="187"/>
      <c r="AF55" s="187"/>
      <c r="AG55" s="187"/>
      <c r="AH55" s="187"/>
      <c r="AI55" s="187"/>
      <c r="AJ55" s="187"/>
      <c r="AK55" s="187"/>
      <c r="AL55" s="187"/>
      <c r="AM55" s="187"/>
      <c r="AN55" s="187"/>
      <c r="AO55" s="188"/>
      <c r="AR55" s="186"/>
      <c r="AS55" s="187"/>
      <c r="AT55" s="187"/>
      <c r="AU55" s="187"/>
      <c r="AV55" s="187"/>
      <c r="AW55" s="187"/>
      <c r="AX55" s="187"/>
      <c r="AY55" s="187"/>
      <c r="AZ55" s="187"/>
      <c r="BA55" s="187"/>
      <c r="BB55" s="187"/>
      <c r="BC55" s="187"/>
      <c r="BD55" s="187"/>
      <c r="BE55" s="187"/>
      <c r="BF55" s="188"/>
    </row>
    <row r="56" spans="3:75" ht="14.25" thickTop="1" thickBot="1">
      <c r="C56" s="189" t="s">
        <v>267</v>
      </c>
      <c r="D56" s="191">
        <f t="shared" ref="D56:L56" si="28">O26</f>
        <v>295344.40320000006</v>
      </c>
      <c r="E56" s="191">
        <f t="shared" si="28"/>
        <v>263047.22135999997</v>
      </c>
      <c r="F56" s="191">
        <f t="shared" si="28"/>
        <v>229429.79136000003</v>
      </c>
      <c r="G56" s="191">
        <f t="shared" si="28"/>
        <v>150357.15072000003</v>
      </c>
      <c r="H56" s="191">
        <f t="shared" si="28"/>
        <v>133914.94905600001</v>
      </c>
      <c r="I56" s="191">
        <f t="shared" si="28"/>
        <v>116800.62105600003</v>
      </c>
      <c r="J56" s="191">
        <f t="shared" si="28"/>
        <v>247015.31904</v>
      </c>
      <c r="K56" s="191">
        <f t="shared" si="28"/>
        <v>220003.130592</v>
      </c>
      <c r="L56" s="191">
        <f t="shared" si="28"/>
        <v>191886.73459199999</v>
      </c>
      <c r="Z56" s="186"/>
      <c r="AA56" s="187"/>
      <c r="AB56" s="187"/>
      <c r="AC56" s="187"/>
      <c r="AD56" s="187"/>
      <c r="AE56" s="187"/>
      <c r="AF56" s="187"/>
      <c r="AG56" s="187"/>
      <c r="AH56" s="187"/>
      <c r="AI56" s="187"/>
      <c r="AJ56" s="187"/>
      <c r="AK56" s="187"/>
      <c r="AL56" s="187"/>
      <c r="AM56" s="187"/>
      <c r="AN56" s="187"/>
      <c r="AO56" s="188"/>
      <c r="AR56" s="186"/>
      <c r="AS56" s="187"/>
      <c r="AT56" s="187"/>
      <c r="AU56" s="187"/>
      <c r="AV56" s="187"/>
      <c r="AW56" s="187"/>
      <c r="AX56" s="187"/>
      <c r="AY56" s="187"/>
      <c r="AZ56" s="187"/>
      <c r="BA56" s="187"/>
      <c r="BB56" s="187"/>
      <c r="BC56" s="187"/>
      <c r="BD56" s="187"/>
      <c r="BE56" s="187"/>
      <c r="BF56" s="188"/>
    </row>
    <row r="57" spans="3:75" ht="16.5" thickTop="1" thickBot="1">
      <c r="C57" s="182" t="s">
        <v>202</v>
      </c>
      <c r="D57" s="208">
        <f>D55-D56</f>
        <v>54157.340159999963</v>
      </c>
      <c r="E57" s="208">
        <f t="shared" ref="E57:L57" si="29">E55-E56</f>
        <v>86454.522000000055</v>
      </c>
      <c r="F57" s="208">
        <f t="shared" si="29"/>
        <v>120071.95199999999</v>
      </c>
      <c r="G57" s="208">
        <f t="shared" si="29"/>
        <v>27571.009535999998</v>
      </c>
      <c r="H57" s="208">
        <f t="shared" si="29"/>
        <v>44013.21120000002</v>
      </c>
      <c r="I57" s="208">
        <f t="shared" si="29"/>
        <v>61127.539199999999</v>
      </c>
      <c r="J57" s="208">
        <f t="shared" si="29"/>
        <v>45295.229952000052</v>
      </c>
      <c r="K57" s="208">
        <f t="shared" si="29"/>
        <v>72307.418400000053</v>
      </c>
      <c r="L57" s="208">
        <f t="shared" si="29"/>
        <v>100423.81440000006</v>
      </c>
      <c r="Z57" s="186"/>
      <c r="AA57" s="187"/>
      <c r="AB57" s="187"/>
      <c r="AC57" s="187"/>
      <c r="AD57" s="187"/>
      <c r="AE57" s="187"/>
      <c r="AF57" s="187"/>
      <c r="AG57" s="187"/>
      <c r="AH57" s="187"/>
      <c r="AI57" s="187"/>
      <c r="AJ57" s="187"/>
      <c r="AK57" s="187"/>
      <c r="AL57" s="187"/>
      <c r="AM57" s="187"/>
      <c r="AN57" s="187"/>
      <c r="AO57" s="188"/>
      <c r="AR57" s="186"/>
      <c r="AS57" s="187"/>
      <c r="AT57" s="187"/>
      <c r="AU57" s="187"/>
      <c r="AV57" s="187"/>
      <c r="AW57" s="187"/>
      <c r="AX57" s="187"/>
      <c r="AY57" s="187"/>
      <c r="AZ57" s="187"/>
      <c r="BA57" s="187"/>
      <c r="BB57" s="187"/>
      <c r="BC57" s="187"/>
      <c r="BD57" s="187"/>
      <c r="BE57" s="187"/>
      <c r="BF57" s="188"/>
    </row>
    <row r="58" spans="3:75" ht="16.5" thickTop="1" thickBot="1">
      <c r="C58" s="182" t="s">
        <v>301</v>
      </c>
      <c r="D58" s="211">
        <f>D57/D55</f>
        <v>0.1549558512622807</v>
      </c>
      <c r="E58" s="211">
        <f t="shared" ref="E58:L58" si="30">E57/E55</f>
        <v>0.24736506653401333</v>
      </c>
      <c r="F58" s="211">
        <f t="shared" si="30"/>
        <v>0.34355179704016908</v>
      </c>
      <c r="G58" s="211">
        <f t="shared" si="30"/>
        <v>0.15495585126228076</v>
      </c>
      <c r="H58" s="211">
        <f t="shared" si="30"/>
        <v>0.24736506653401324</v>
      </c>
      <c r="I58" s="211">
        <f t="shared" si="30"/>
        <v>0.34355179704016908</v>
      </c>
      <c r="J58" s="211">
        <f t="shared" si="30"/>
        <v>0.15495585126228095</v>
      </c>
      <c r="K58" s="211">
        <f t="shared" si="30"/>
        <v>0.24736506653401333</v>
      </c>
      <c r="L58" s="211">
        <f t="shared" si="30"/>
        <v>0.3435517970401693</v>
      </c>
      <c r="Z58" s="186"/>
      <c r="AA58" s="187"/>
      <c r="AB58" s="187"/>
      <c r="AC58" s="187"/>
      <c r="AD58" s="187"/>
      <c r="AE58" s="187"/>
      <c r="AF58" s="187"/>
      <c r="AG58" s="187"/>
      <c r="AH58" s="187"/>
      <c r="AI58" s="187"/>
      <c r="AJ58" s="187"/>
      <c r="AK58" s="187"/>
      <c r="AL58" s="187"/>
      <c r="AM58" s="187"/>
      <c r="AN58" s="187"/>
      <c r="AO58" s="188"/>
      <c r="AR58" s="186"/>
      <c r="AS58" s="187"/>
      <c r="AT58" s="187"/>
      <c r="AU58" s="187"/>
      <c r="AV58" s="187"/>
      <c r="AW58" s="187"/>
      <c r="AX58" s="187"/>
      <c r="AY58" s="187"/>
      <c r="AZ58" s="187"/>
      <c r="BA58" s="187"/>
      <c r="BB58" s="187"/>
      <c r="BC58" s="187"/>
      <c r="BD58" s="187"/>
      <c r="BE58" s="187"/>
      <c r="BF58" s="188"/>
    </row>
    <row r="59" spans="3:75" ht="31.5" thickTop="1" thickBot="1">
      <c r="C59" s="206" t="s">
        <v>305</v>
      </c>
      <c r="D59" s="207"/>
      <c r="E59" s="207"/>
      <c r="F59" s="207"/>
      <c r="G59" s="207"/>
      <c r="H59" s="207"/>
      <c r="I59" s="207"/>
      <c r="J59" s="207"/>
      <c r="K59" s="207"/>
      <c r="L59" s="207"/>
      <c r="Z59" s="186"/>
      <c r="AA59" s="187"/>
      <c r="AB59" s="187"/>
      <c r="AC59" s="187"/>
      <c r="AD59" s="187"/>
      <c r="AE59" s="187"/>
      <c r="AF59" s="187"/>
      <c r="AG59" s="187"/>
      <c r="AH59" s="187"/>
      <c r="AI59" s="187"/>
      <c r="AJ59" s="187"/>
      <c r="AK59" s="187"/>
      <c r="AL59" s="187"/>
      <c r="AM59" s="187"/>
      <c r="AN59" s="187"/>
      <c r="AO59" s="188"/>
      <c r="AR59" s="186"/>
      <c r="AS59" s="187"/>
      <c r="AT59" s="187"/>
      <c r="AU59" s="187"/>
      <c r="AV59" s="187"/>
      <c r="AW59" s="187"/>
      <c r="AX59" s="187"/>
      <c r="AY59" s="187"/>
      <c r="AZ59" s="187"/>
      <c r="BA59" s="187"/>
      <c r="BB59" s="187"/>
      <c r="BC59" s="187"/>
      <c r="BD59" s="187"/>
      <c r="BE59" s="187"/>
      <c r="BF59" s="188"/>
    </row>
    <row r="60" spans="3:75" ht="14.25" thickTop="1" thickBot="1">
      <c r="C60" s="189" t="s">
        <v>266</v>
      </c>
      <c r="D60" s="191">
        <f>D28</f>
        <v>871.47903072384008</v>
      </c>
      <c r="E60" s="191">
        <f t="shared" ref="E60:L60" si="31">E28</f>
        <v>871.47903072384008</v>
      </c>
      <c r="F60" s="191">
        <f t="shared" si="31"/>
        <v>871.47903072384008</v>
      </c>
      <c r="G60" s="191">
        <f t="shared" si="31"/>
        <v>443.66205200486411</v>
      </c>
      <c r="H60" s="191">
        <f t="shared" si="31"/>
        <v>443.66205200486411</v>
      </c>
      <c r="I60" s="191">
        <f t="shared" si="31"/>
        <v>443.66205200486411</v>
      </c>
      <c r="J60" s="191">
        <f t="shared" si="31"/>
        <v>728.87337115084813</v>
      </c>
      <c r="K60" s="191">
        <f t="shared" si="31"/>
        <v>728.87337115084813</v>
      </c>
      <c r="L60" s="191">
        <f t="shared" si="31"/>
        <v>728.87337115084813</v>
      </c>
      <c r="Z60" s="186"/>
      <c r="AA60" s="187"/>
      <c r="AB60" s="187"/>
      <c r="AC60" s="187"/>
      <c r="AD60" s="187"/>
      <c r="AE60" s="187"/>
      <c r="AF60" s="187"/>
      <c r="AG60" s="187"/>
      <c r="AH60" s="187"/>
      <c r="AI60" s="187"/>
      <c r="AJ60" s="187"/>
      <c r="AK60" s="187"/>
      <c r="AL60" s="187"/>
      <c r="AM60" s="187"/>
      <c r="AN60" s="187"/>
      <c r="AO60" s="188"/>
      <c r="AR60" s="186"/>
      <c r="AS60" s="187"/>
      <c r="AT60" s="187"/>
      <c r="AU60" s="187"/>
      <c r="AV60" s="187"/>
      <c r="AW60" s="187"/>
      <c r="AX60" s="187"/>
      <c r="AY60" s="187"/>
      <c r="AZ60" s="187"/>
      <c r="BA60" s="187"/>
      <c r="BB60" s="187"/>
      <c r="BC60" s="187"/>
      <c r="BD60" s="187"/>
      <c r="BE60" s="187"/>
      <c r="BF60" s="188"/>
    </row>
    <row r="61" spans="3:75" ht="14.25" thickTop="1" thickBot="1">
      <c r="C61" s="189" t="s">
        <v>267</v>
      </c>
      <c r="D61" s="191">
        <f t="shared" ref="D61:L61" si="32">O28</f>
        <v>736.43825566080022</v>
      </c>
      <c r="E61" s="191">
        <f t="shared" si="32"/>
        <v>655.90556230583991</v>
      </c>
      <c r="F61" s="191">
        <f t="shared" si="32"/>
        <v>572.0808436358401</v>
      </c>
      <c r="G61" s="191">
        <f t="shared" si="32"/>
        <v>374.91402106368008</v>
      </c>
      <c r="H61" s="191">
        <f t="shared" si="32"/>
        <v>333.91555899206406</v>
      </c>
      <c r="I61" s="191">
        <f t="shared" si="32"/>
        <v>291.24115676006409</v>
      </c>
      <c r="J61" s="191">
        <f t="shared" si="32"/>
        <v>615.93017746176008</v>
      </c>
      <c r="K61" s="191">
        <f t="shared" si="32"/>
        <v>548.57556120124798</v>
      </c>
      <c r="L61" s="191">
        <f t="shared" si="32"/>
        <v>478.46761467724798</v>
      </c>
      <c r="Z61" s="202"/>
      <c r="AA61" s="203"/>
      <c r="AB61" s="203"/>
      <c r="AC61" s="203"/>
      <c r="AD61" s="203"/>
      <c r="AE61" s="203"/>
      <c r="AF61" s="203"/>
      <c r="AG61" s="203"/>
      <c r="AH61" s="203"/>
      <c r="AI61" s="203"/>
      <c r="AJ61" s="203"/>
      <c r="AK61" s="203"/>
      <c r="AL61" s="203"/>
      <c r="AM61" s="203"/>
      <c r="AN61" s="203"/>
      <c r="AO61" s="204"/>
      <c r="AR61" s="186"/>
      <c r="AS61" s="187"/>
      <c r="AT61" s="187"/>
      <c r="AU61" s="187"/>
      <c r="AV61" s="187"/>
      <c r="AW61" s="187"/>
      <c r="AX61" s="187"/>
      <c r="AY61" s="187"/>
      <c r="AZ61" s="187"/>
      <c r="BA61" s="187"/>
      <c r="BB61" s="187"/>
      <c r="BC61" s="187"/>
      <c r="BD61" s="187"/>
      <c r="BE61" s="187"/>
      <c r="BF61" s="188"/>
    </row>
    <row r="62" spans="3:75" ht="16.5" thickTop="1" thickBot="1">
      <c r="C62" s="182" t="s">
        <v>202</v>
      </c>
      <c r="D62" s="208">
        <f>D60-D61</f>
        <v>135.04077506303986</v>
      </c>
      <c r="E62" s="208">
        <f t="shared" ref="E62:L62" si="33">E60-E61</f>
        <v>215.57346841800018</v>
      </c>
      <c r="F62" s="208">
        <f t="shared" si="33"/>
        <v>299.39818708799999</v>
      </c>
      <c r="G62" s="208">
        <f t="shared" si="33"/>
        <v>68.748030941184027</v>
      </c>
      <c r="H62" s="208">
        <f t="shared" si="33"/>
        <v>109.74649301280004</v>
      </c>
      <c r="I62" s="208">
        <f t="shared" si="33"/>
        <v>152.42089524480002</v>
      </c>
      <c r="J62" s="208">
        <f t="shared" si="33"/>
        <v>112.94319368908805</v>
      </c>
      <c r="K62" s="208">
        <f t="shared" si="33"/>
        <v>180.29780994960015</v>
      </c>
      <c r="L62" s="208">
        <f t="shared" si="33"/>
        <v>250.40575647360015</v>
      </c>
      <c r="AR62" s="186"/>
      <c r="AS62" s="187"/>
      <c r="AT62" s="187"/>
      <c r="AU62" s="187"/>
      <c r="AV62" s="187"/>
      <c r="AW62" s="187"/>
      <c r="AX62" s="187"/>
      <c r="AY62" s="187"/>
      <c r="AZ62" s="187"/>
      <c r="BA62" s="187"/>
      <c r="BB62" s="187"/>
      <c r="BC62" s="187"/>
      <c r="BD62" s="187"/>
      <c r="BE62" s="187"/>
      <c r="BF62" s="188"/>
    </row>
    <row r="63" spans="3:75" ht="16.5" thickTop="1" thickBot="1">
      <c r="C63" s="182" t="s">
        <v>301</v>
      </c>
      <c r="D63" s="209">
        <f>D62/D60</f>
        <v>0.15495585126228065</v>
      </c>
      <c r="E63" s="209">
        <f t="shared" ref="E63:L63" si="34">E62/E60</f>
        <v>0.24736506653401336</v>
      </c>
      <c r="F63" s="209">
        <f t="shared" si="34"/>
        <v>0.34355179704016908</v>
      </c>
      <c r="G63" s="209">
        <f t="shared" si="34"/>
        <v>0.15495585126228084</v>
      </c>
      <c r="H63" s="209">
        <f t="shared" si="34"/>
        <v>0.24736506653401322</v>
      </c>
      <c r="I63" s="209">
        <f t="shared" si="34"/>
        <v>0.34355179704016908</v>
      </c>
      <c r="J63" s="209">
        <f t="shared" si="34"/>
        <v>0.15495585126228084</v>
      </c>
      <c r="K63" s="209">
        <f t="shared" si="34"/>
        <v>0.24736506653401336</v>
      </c>
      <c r="L63" s="209">
        <f t="shared" si="34"/>
        <v>0.3435517970401693</v>
      </c>
      <c r="AR63" s="186"/>
      <c r="AS63" s="187"/>
      <c r="AT63" s="187"/>
      <c r="AU63" s="187"/>
      <c r="AV63" s="187"/>
      <c r="AW63" s="187"/>
      <c r="AX63" s="187"/>
      <c r="AY63" s="187"/>
      <c r="AZ63" s="187"/>
      <c r="BA63" s="187"/>
      <c r="BB63" s="187"/>
      <c r="BC63" s="187"/>
      <c r="BD63" s="187"/>
      <c r="BE63" s="187"/>
      <c r="BF63" s="188"/>
    </row>
    <row r="64" spans="3:75" ht="31.5" thickTop="1" thickBot="1">
      <c r="C64" s="206" t="s">
        <v>306</v>
      </c>
      <c r="D64" s="207"/>
      <c r="E64" s="207"/>
      <c r="F64" s="207"/>
      <c r="G64" s="207"/>
      <c r="H64" s="207"/>
      <c r="I64" s="207"/>
      <c r="J64" s="207"/>
      <c r="K64" s="207"/>
      <c r="L64" s="207"/>
      <c r="AR64" s="186"/>
      <c r="AS64" s="187"/>
      <c r="AT64" s="187"/>
      <c r="AU64" s="187"/>
      <c r="AV64" s="187"/>
      <c r="AW64" s="187"/>
      <c r="AX64" s="187"/>
      <c r="AY64" s="187"/>
      <c r="AZ64" s="187"/>
      <c r="BA64" s="187"/>
      <c r="BB64" s="187"/>
      <c r="BC64" s="187"/>
      <c r="BD64" s="187"/>
      <c r="BE64" s="187"/>
      <c r="BF64" s="188"/>
    </row>
    <row r="65" spans="3:58" ht="14.25" thickTop="1" thickBot="1">
      <c r="C65" s="189" t="s">
        <v>266</v>
      </c>
      <c r="D65" s="201">
        <f>D30</f>
        <v>38.864593861632002</v>
      </c>
      <c r="E65" s="201">
        <f t="shared" ref="E65:L65" si="35">E30</f>
        <v>38.864593861632002</v>
      </c>
      <c r="F65" s="201">
        <f t="shared" si="35"/>
        <v>38.864593861632002</v>
      </c>
      <c r="G65" s="201">
        <f t="shared" si="35"/>
        <v>19.785611420467202</v>
      </c>
      <c r="H65" s="201">
        <f t="shared" si="35"/>
        <v>19.785611420467202</v>
      </c>
      <c r="I65" s="201">
        <f t="shared" si="35"/>
        <v>19.785611420467202</v>
      </c>
      <c r="J65" s="201">
        <f t="shared" si="35"/>
        <v>32.504933047910406</v>
      </c>
      <c r="K65" s="201">
        <f t="shared" si="35"/>
        <v>32.504933047910406</v>
      </c>
      <c r="L65" s="201">
        <f t="shared" si="35"/>
        <v>32.504933047910406</v>
      </c>
      <c r="AR65" s="186"/>
      <c r="AS65" s="187"/>
      <c r="AT65" s="187"/>
      <c r="AU65" s="187"/>
      <c r="AV65" s="187"/>
      <c r="AW65" s="187"/>
      <c r="AX65" s="187"/>
      <c r="AY65" s="187"/>
      <c r="AZ65" s="187"/>
      <c r="BA65" s="187"/>
      <c r="BB65" s="187"/>
      <c r="BC65" s="187"/>
      <c r="BD65" s="187"/>
      <c r="BE65" s="187"/>
      <c r="BF65" s="188"/>
    </row>
    <row r="66" spans="3:58" ht="14.25" thickTop="1" thickBot="1">
      <c r="C66" s="189" t="s">
        <v>267</v>
      </c>
      <c r="D66" s="201">
        <f t="shared" ref="D66:L66" si="36">O30</f>
        <v>32.842297635840005</v>
      </c>
      <c r="E66" s="201">
        <f t="shared" si="36"/>
        <v>29.250851015231994</v>
      </c>
      <c r="F66" s="201">
        <f t="shared" si="36"/>
        <v>25.512592799232003</v>
      </c>
      <c r="G66" s="201">
        <f t="shared" si="36"/>
        <v>16.719715160064002</v>
      </c>
      <c r="H66" s="201">
        <f t="shared" si="36"/>
        <v>14.891342335027201</v>
      </c>
      <c r="I66" s="201">
        <f t="shared" si="36"/>
        <v>12.988229061427203</v>
      </c>
      <c r="J66" s="201">
        <f t="shared" si="36"/>
        <v>27.468103477247997</v>
      </c>
      <c r="K66" s="201">
        <f t="shared" si="36"/>
        <v>24.464348121830398</v>
      </c>
      <c r="L66" s="201">
        <f t="shared" si="36"/>
        <v>21.337804886630398</v>
      </c>
      <c r="AR66" s="186"/>
      <c r="AS66" s="187"/>
      <c r="AT66" s="187"/>
      <c r="AU66" s="187"/>
      <c r="AV66" s="187"/>
      <c r="AW66" s="187"/>
      <c r="AX66" s="187"/>
      <c r="AY66" s="187"/>
      <c r="AZ66" s="187"/>
      <c r="BA66" s="187"/>
      <c r="BB66" s="187"/>
      <c r="BC66" s="187"/>
      <c r="BD66" s="187"/>
      <c r="BE66" s="187"/>
      <c r="BF66" s="188"/>
    </row>
    <row r="67" spans="3:58" ht="16.5" customHeight="1" thickTop="1" thickBot="1">
      <c r="C67" s="182" t="s">
        <v>202</v>
      </c>
      <c r="D67" s="212">
        <f>D65-D66</f>
        <v>6.0222962257919974</v>
      </c>
      <c r="E67" s="212">
        <f t="shared" ref="E67:L67" si="37">E65-E66</f>
        <v>9.6137428464000081</v>
      </c>
      <c r="F67" s="212">
        <f t="shared" si="37"/>
        <v>13.352001062399999</v>
      </c>
      <c r="G67" s="212">
        <f t="shared" si="37"/>
        <v>3.0658962604031998</v>
      </c>
      <c r="H67" s="212">
        <f t="shared" si="37"/>
        <v>4.8942690854400013</v>
      </c>
      <c r="I67" s="212">
        <f t="shared" si="37"/>
        <v>6.7973823590399984</v>
      </c>
      <c r="J67" s="212">
        <f t="shared" si="37"/>
        <v>5.0368295706624089</v>
      </c>
      <c r="K67" s="212">
        <f t="shared" si="37"/>
        <v>8.0405849260800082</v>
      </c>
      <c r="L67" s="212">
        <f t="shared" si="37"/>
        <v>11.167128161280008</v>
      </c>
      <c r="AR67" s="186"/>
      <c r="AS67" s="187"/>
      <c r="AT67" s="187"/>
      <c r="AU67" s="343" t="s">
        <v>307</v>
      </c>
      <c r="AV67" s="343"/>
      <c r="AW67" s="343"/>
      <c r="AX67" s="343"/>
      <c r="AY67" s="343"/>
      <c r="AZ67" s="343"/>
      <c r="BA67" s="343"/>
      <c r="BB67" s="343"/>
      <c r="BC67" s="343"/>
      <c r="BD67" s="343"/>
      <c r="BE67" s="187"/>
      <c r="BF67" s="188"/>
    </row>
    <row r="68" spans="3:58" ht="16.5" thickTop="1" thickBot="1">
      <c r="C68" s="182" t="s">
        <v>301</v>
      </c>
      <c r="D68" s="209">
        <f>D67/D65</f>
        <v>0.15495585126228073</v>
      </c>
      <c r="E68" s="209">
        <f t="shared" ref="E68:L68" si="38">E67/E65</f>
        <v>0.24736506653401338</v>
      </c>
      <c r="F68" s="209">
        <f t="shared" si="38"/>
        <v>0.34355179704016908</v>
      </c>
      <c r="G68" s="209">
        <f t="shared" si="38"/>
        <v>0.15495585126228079</v>
      </c>
      <c r="H68" s="209">
        <f t="shared" si="38"/>
        <v>0.24736506653401322</v>
      </c>
      <c r="I68" s="209">
        <f t="shared" si="38"/>
        <v>0.34355179704016903</v>
      </c>
      <c r="J68" s="209">
        <f t="shared" si="38"/>
        <v>0.15495585126228106</v>
      </c>
      <c r="K68" s="209">
        <f t="shared" si="38"/>
        <v>0.24736506653401338</v>
      </c>
      <c r="L68" s="209">
        <f t="shared" si="38"/>
        <v>0.3435517970401693</v>
      </c>
      <c r="AR68" s="186"/>
      <c r="AS68" s="187"/>
      <c r="AT68" s="187"/>
      <c r="AU68" s="343"/>
      <c r="AV68" s="343"/>
      <c r="AW68" s="343"/>
      <c r="AX68" s="343"/>
      <c r="AY68" s="343"/>
      <c r="AZ68" s="343"/>
      <c r="BA68" s="343"/>
      <c r="BB68" s="343"/>
      <c r="BC68" s="343"/>
      <c r="BD68" s="343"/>
      <c r="BE68" s="187"/>
      <c r="BF68" s="188"/>
    </row>
    <row r="69" spans="3:58" ht="31.5" customHeight="1" thickTop="1" thickBot="1">
      <c r="C69" s="206" t="s">
        <v>308</v>
      </c>
      <c r="D69" s="207"/>
      <c r="E69" s="207"/>
      <c r="F69" s="207"/>
      <c r="G69" s="207"/>
      <c r="H69" s="207"/>
      <c r="I69" s="207"/>
      <c r="J69" s="207"/>
      <c r="K69" s="207"/>
      <c r="L69" s="207"/>
      <c r="AR69" s="186"/>
      <c r="AS69" s="187"/>
      <c r="AT69" s="187"/>
      <c r="AU69" s="343"/>
      <c r="AV69" s="343"/>
      <c r="AW69" s="343"/>
      <c r="AX69" s="343"/>
      <c r="AY69" s="343"/>
      <c r="AZ69" s="343"/>
      <c r="BA69" s="343"/>
      <c r="BB69" s="343"/>
      <c r="BC69" s="343"/>
      <c r="BD69" s="343"/>
      <c r="BE69" s="187"/>
      <c r="BF69" s="188"/>
    </row>
    <row r="70" spans="3:58" ht="14.25" thickTop="1" thickBot="1">
      <c r="C70" s="189" t="s">
        <v>266</v>
      </c>
      <c r="D70" s="191">
        <f>D32</f>
        <v>825.29064209547653</v>
      </c>
      <c r="E70" s="191">
        <f t="shared" ref="E70:L70" si="39">E32</f>
        <v>825.29064209547653</v>
      </c>
      <c r="F70" s="191">
        <f t="shared" si="39"/>
        <v>825.29064209547653</v>
      </c>
      <c r="G70" s="191">
        <f t="shared" si="39"/>
        <v>420.14796324860629</v>
      </c>
      <c r="H70" s="191">
        <f t="shared" si="39"/>
        <v>420.14796324860629</v>
      </c>
      <c r="I70" s="191">
        <f t="shared" si="39"/>
        <v>420.14796324860629</v>
      </c>
      <c r="J70" s="191">
        <f t="shared" si="39"/>
        <v>690.24308247985311</v>
      </c>
      <c r="K70" s="191">
        <f t="shared" si="39"/>
        <v>690.24308247985311</v>
      </c>
      <c r="L70" s="191">
        <f t="shared" si="39"/>
        <v>690.24308247985311</v>
      </c>
      <c r="AR70" s="186"/>
      <c r="AS70" s="187"/>
      <c r="AT70" s="187"/>
      <c r="AU70" s="343"/>
      <c r="AV70" s="343"/>
      <c r="AW70" s="343"/>
      <c r="AX70" s="343"/>
      <c r="AY70" s="343"/>
      <c r="AZ70" s="343"/>
      <c r="BA70" s="343"/>
      <c r="BB70" s="343"/>
      <c r="BC70" s="343"/>
      <c r="BD70" s="343"/>
      <c r="BE70" s="187"/>
      <c r="BF70" s="188"/>
    </row>
    <row r="71" spans="3:58" ht="14.25" thickTop="1" thickBot="1">
      <c r="C71" s="189" t="s">
        <v>267</v>
      </c>
      <c r="D71" s="191">
        <f t="shared" ref="D71:L71" si="40">O32</f>
        <v>697.40702811077779</v>
      </c>
      <c r="E71" s="191">
        <f t="shared" si="40"/>
        <v>621.1425675036304</v>
      </c>
      <c r="F71" s="191">
        <f t="shared" si="40"/>
        <v>541.76055892314059</v>
      </c>
      <c r="G71" s="191">
        <f t="shared" si="40"/>
        <v>355.04357794730504</v>
      </c>
      <c r="H71" s="191">
        <f t="shared" si="40"/>
        <v>316.21803436548464</v>
      </c>
      <c r="I71" s="191">
        <f t="shared" si="40"/>
        <v>275.80537545178066</v>
      </c>
      <c r="J71" s="191">
        <f t="shared" si="40"/>
        <v>583.28587805628672</v>
      </c>
      <c r="K71" s="191">
        <f t="shared" si="40"/>
        <v>519.50105645758185</v>
      </c>
      <c r="L71" s="191">
        <f t="shared" si="40"/>
        <v>453.10883109935384</v>
      </c>
      <c r="AR71" s="186"/>
      <c r="AS71" s="187"/>
      <c r="AT71" s="187"/>
      <c r="AU71" s="343"/>
      <c r="AV71" s="343"/>
      <c r="AW71" s="343"/>
      <c r="AX71" s="343"/>
      <c r="AY71" s="343"/>
      <c r="AZ71" s="343"/>
      <c r="BA71" s="343"/>
      <c r="BB71" s="343"/>
      <c r="BC71" s="343"/>
      <c r="BD71" s="343"/>
      <c r="BE71" s="187"/>
      <c r="BF71" s="188"/>
    </row>
    <row r="72" spans="3:58" ht="16.5" thickTop="1" thickBot="1">
      <c r="C72" s="182" t="s">
        <v>202</v>
      </c>
      <c r="D72" s="208">
        <f>D70-D71</f>
        <v>127.88361398469874</v>
      </c>
      <c r="E72" s="208">
        <f t="shared" ref="E72:L72" si="41">E70-E71</f>
        <v>204.14807459184613</v>
      </c>
      <c r="F72" s="208">
        <f t="shared" si="41"/>
        <v>283.53008317233594</v>
      </c>
      <c r="G72" s="208">
        <f t="shared" si="41"/>
        <v>65.104385301301249</v>
      </c>
      <c r="H72" s="208">
        <f t="shared" si="41"/>
        <v>103.92992888312165</v>
      </c>
      <c r="I72" s="208">
        <f t="shared" si="41"/>
        <v>144.34258779682563</v>
      </c>
      <c r="J72" s="208">
        <f t="shared" si="41"/>
        <v>106.9572044235664</v>
      </c>
      <c r="K72" s="208">
        <f t="shared" si="41"/>
        <v>170.74202602227126</v>
      </c>
      <c r="L72" s="208">
        <f t="shared" si="41"/>
        <v>237.13425138049928</v>
      </c>
      <c r="AR72" s="186"/>
      <c r="AS72" s="187"/>
      <c r="AT72" s="187"/>
      <c r="AU72" s="343"/>
      <c r="AV72" s="343"/>
      <c r="AW72" s="343"/>
      <c r="AX72" s="343"/>
      <c r="AY72" s="343"/>
      <c r="AZ72" s="343"/>
      <c r="BA72" s="343"/>
      <c r="BB72" s="343"/>
      <c r="BC72" s="343"/>
      <c r="BD72" s="343"/>
      <c r="BE72" s="187"/>
      <c r="BF72" s="188"/>
    </row>
    <row r="73" spans="3:58" ht="23.25" customHeight="1" thickTop="1" thickBot="1">
      <c r="C73" s="182" t="s">
        <v>301</v>
      </c>
      <c r="D73" s="209">
        <f>D72/D70</f>
        <v>0.15495585126228062</v>
      </c>
      <c r="E73" s="209">
        <f t="shared" ref="E73:L73" si="42">E72/E70</f>
        <v>0.24736506653401333</v>
      </c>
      <c r="F73" s="209">
        <f t="shared" si="42"/>
        <v>0.34355179704016903</v>
      </c>
      <c r="G73" s="209">
        <f t="shared" si="42"/>
        <v>0.15495585126228079</v>
      </c>
      <c r="H73" s="209">
        <f t="shared" si="42"/>
        <v>0.24736506653401324</v>
      </c>
      <c r="I73" s="209">
        <f t="shared" si="42"/>
        <v>0.34355179704016914</v>
      </c>
      <c r="J73" s="209">
        <f t="shared" si="42"/>
        <v>0.1549558512622809</v>
      </c>
      <c r="K73" s="209">
        <f t="shared" si="42"/>
        <v>0.24736506653401324</v>
      </c>
      <c r="L73" s="209">
        <f t="shared" si="42"/>
        <v>0.34355179704016919</v>
      </c>
      <c r="AR73" s="186"/>
      <c r="AS73" s="198"/>
      <c r="AT73" s="187"/>
      <c r="AU73" s="343"/>
      <c r="AV73" s="343"/>
      <c r="AW73" s="343"/>
      <c r="AX73" s="343"/>
      <c r="AY73" s="343"/>
      <c r="AZ73" s="343"/>
      <c r="BA73" s="343"/>
      <c r="BB73" s="343"/>
      <c r="BC73" s="343"/>
      <c r="BD73" s="343"/>
      <c r="BE73" s="187"/>
      <c r="BF73" s="188"/>
    </row>
    <row r="74" spans="3:58" ht="23.25" customHeight="1" thickTop="1" thickBot="1">
      <c r="C74" s="206" t="s">
        <v>309</v>
      </c>
      <c r="D74" s="207"/>
      <c r="E74" s="207"/>
      <c r="F74" s="207"/>
      <c r="G74" s="207"/>
      <c r="H74" s="207"/>
      <c r="I74" s="207"/>
      <c r="J74" s="207"/>
      <c r="K74" s="207"/>
      <c r="L74" s="207"/>
      <c r="AR74" s="202"/>
      <c r="AS74" s="213"/>
      <c r="AT74" s="203"/>
      <c r="AU74" s="203"/>
      <c r="AV74" s="203"/>
      <c r="AW74" s="203"/>
      <c r="AX74" s="203"/>
      <c r="AY74" s="203"/>
      <c r="AZ74" s="203"/>
      <c r="BA74" s="203"/>
      <c r="BB74" s="203"/>
      <c r="BC74" s="203"/>
      <c r="BD74" s="203"/>
      <c r="BE74" s="203"/>
      <c r="BF74" s="204"/>
    </row>
    <row r="75" spans="3:58" ht="14.25" thickTop="1" thickBot="1">
      <c r="C75" s="189" t="s">
        <v>266</v>
      </c>
      <c r="D75" s="201">
        <f>D33</f>
        <v>2.0598234746664978</v>
      </c>
      <c r="E75" s="201">
        <f t="shared" ref="E75:L75" si="43">E33</f>
        <v>2.0598234746664978</v>
      </c>
      <c r="F75" s="201">
        <f t="shared" si="43"/>
        <v>2.0598234746664978</v>
      </c>
      <c r="G75" s="201">
        <f t="shared" si="43"/>
        <v>1.0486374052847627</v>
      </c>
      <c r="H75" s="201">
        <f t="shared" si="43"/>
        <v>1.0486374052847627</v>
      </c>
      <c r="I75" s="201">
        <f t="shared" si="43"/>
        <v>1.0486374052847627</v>
      </c>
      <c r="J75" s="201">
        <f t="shared" si="43"/>
        <v>1.7227614515392531</v>
      </c>
      <c r="K75" s="201">
        <f t="shared" si="43"/>
        <v>1.7227614515392531</v>
      </c>
      <c r="L75" s="201">
        <f t="shared" si="43"/>
        <v>1.7227614515392531</v>
      </c>
    </row>
    <row r="76" spans="3:58" ht="14.25" thickTop="1" thickBot="1">
      <c r="C76" s="189" t="s">
        <v>267</v>
      </c>
      <c r="D76" s="201">
        <f t="shared" ref="D76:L76" si="44">O33</f>
        <v>1.7406417746995217</v>
      </c>
      <c r="E76" s="201">
        <f t="shared" si="44"/>
        <v>1.5502951038072972</v>
      </c>
      <c r="F76" s="201">
        <f t="shared" si="44"/>
        <v>1.3521674183592973</v>
      </c>
      <c r="G76" s="201">
        <f t="shared" si="44"/>
        <v>0.88614490348339292</v>
      </c>
      <c r="H76" s="201">
        <f t="shared" si="44"/>
        <v>0.78924114375644228</v>
      </c>
      <c r="I76" s="201">
        <f t="shared" si="44"/>
        <v>0.68837614025564242</v>
      </c>
      <c r="J76" s="201">
        <f t="shared" si="44"/>
        <v>1.4558094842941451</v>
      </c>
      <c r="K76" s="201">
        <f t="shared" si="44"/>
        <v>1.2966104504570122</v>
      </c>
      <c r="L76" s="201">
        <f t="shared" si="44"/>
        <v>1.1309036589914121</v>
      </c>
    </row>
    <row r="77" spans="3:58" ht="16.5" thickTop="1" thickBot="1">
      <c r="C77" s="182" t="s">
        <v>202</v>
      </c>
      <c r="D77" s="212">
        <f>D75-D76</f>
        <v>0.3191816999669761</v>
      </c>
      <c r="E77" s="212">
        <f t="shared" ref="E77:L77" si="45">E75-E76</f>
        <v>0.50952837085920066</v>
      </c>
      <c r="F77" s="212">
        <f t="shared" si="45"/>
        <v>0.70765605630720052</v>
      </c>
      <c r="G77" s="212">
        <f t="shared" si="45"/>
        <v>0.16249250180136976</v>
      </c>
      <c r="H77" s="212">
        <f t="shared" si="45"/>
        <v>0.2593962615283204</v>
      </c>
      <c r="I77" s="212">
        <f t="shared" si="45"/>
        <v>0.36026126502912026</v>
      </c>
      <c r="J77" s="212">
        <f t="shared" si="45"/>
        <v>0.26695196724510795</v>
      </c>
      <c r="K77" s="212">
        <f t="shared" si="45"/>
        <v>0.42615100108224091</v>
      </c>
      <c r="L77" s="212">
        <f t="shared" si="45"/>
        <v>0.59185779254784099</v>
      </c>
    </row>
    <row r="78" spans="3:58" ht="16.5" thickTop="1" thickBot="1">
      <c r="C78" s="182" t="s">
        <v>301</v>
      </c>
      <c r="D78" s="209">
        <f>D77/D75</f>
        <v>0.15495585126228073</v>
      </c>
      <c r="E78" s="209">
        <f t="shared" ref="E78:L78" si="46">E77/E75</f>
        <v>0.24736506653401327</v>
      </c>
      <c r="F78" s="209">
        <f t="shared" si="46"/>
        <v>0.34355179704016908</v>
      </c>
      <c r="G78" s="209">
        <f t="shared" si="46"/>
        <v>0.15495585126228081</v>
      </c>
      <c r="H78" s="209">
        <f t="shared" si="46"/>
        <v>0.2473650665340133</v>
      </c>
      <c r="I78" s="209">
        <f t="shared" si="46"/>
        <v>0.34355179704016903</v>
      </c>
      <c r="J78" s="209">
        <f t="shared" si="46"/>
        <v>0.15495585126228106</v>
      </c>
      <c r="K78" s="209">
        <f t="shared" si="46"/>
        <v>0.24736506653401344</v>
      </c>
      <c r="L78" s="209">
        <f t="shared" si="46"/>
        <v>0.3435517970401693</v>
      </c>
    </row>
    <row r="79" spans="3:58" ht="31.5" thickTop="1" thickBot="1">
      <c r="C79" s="206" t="s">
        <v>310</v>
      </c>
      <c r="D79" s="207"/>
      <c r="E79" s="207"/>
      <c r="F79" s="207"/>
      <c r="G79" s="207"/>
      <c r="H79" s="207"/>
      <c r="I79" s="207"/>
      <c r="J79" s="207"/>
      <c r="K79" s="207"/>
      <c r="L79" s="207"/>
    </row>
    <row r="80" spans="3:58" ht="14.25" thickTop="1" thickBot="1">
      <c r="C80" s="189" t="s">
        <v>266</v>
      </c>
      <c r="D80" s="191">
        <f>D24</f>
        <v>23.485907969384495</v>
      </c>
      <c r="E80" s="191">
        <f t="shared" ref="E80:L80" si="47">E24</f>
        <v>23.485907969384495</v>
      </c>
      <c r="F80" s="191">
        <f t="shared" si="47"/>
        <v>23.485907969384495</v>
      </c>
      <c r="G80" s="191">
        <f t="shared" si="47"/>
        <v>11.956462238959382</v>
      </c>
      <c r="H80" s="191">
        <f t="shared" si="47"/>
        <v>11.956462238959382</v>
      </c>
      <c r="I80" s="191">
        <f t="shared" si="47"/>
        <v>11.956462238959382</v>
      </c>
      <c r="J80" s="191">
        <f t="shared" si="47"/>
        <v>19.642759392576124</v>
      </c>
      <c r="K80" s="191">
        <f t="shared" si="47"/>
        <v>19.642759392576124</v>
      </c>
      <c r="L80" s="191">
        <f t="shared" si="47"/>
        <v>19.642759392576124</v>
      </c>
    </row>
    <row r="81" spans="2:34" ht="14.25" thickTop="1" thickBot="1">
      <c r="C81" s="189" t="s">
        <v>267</v>
      </c>
      <c r="D81" s="191">
        <f t="shared" ref="D81:L81" si="48">O24</f>
        <v>19.215742884041862</v>
      </c>
      <c r="E81" s="191">
        <f t="shared" si="48"/>
        <v>16.813775023536625</v>
      </c>
      <c r="F81" s="191">
        <f t="shared" si="48"/>
        <v>14.411807163031396</v>
      </c>
      <c r="G81" s="191">
        <f t="shared" si="48"/>
        <v>9.7825600136940398</v>
      </c>
      <c r="H81" s="191">
        <f t="shared" si="48"/>
        <v>8.5597400119822815</v>
      </c>
      <c r="I81" s="191">
        <f t="shared" si="48"/>
        <v>7.3369200102705294</v>
      </c>
      <c r="J81" s="191">
        <f t="shared" si="48"/>
        <v>16.071348593925919</v>
      </c>
      <c r="K81" s="191">
        <f t="shared" si="48"/>
        <v>14.062430019685179</v>
      </c>
      <c r="L81" s="191">
        <f t="shared" si="48"/>
        <v>12.053511445444437</v>
      </c>
    </row>
    <row r="82" spans="2:34" ht="16.5" thickTop="1" thickBot="1">
      <c r="C82" s="182" t="s">
        <v>202</v>
      </c>
      <c r="D82" s="208">
        <f>D80-D81</f>
        <v>4.2701650853426329</v>
      </c>
      <c r="E82" s="208">
        <f t="shared" ref="E82:L82" si="49">E80-E81</f>
        <v>6.6721329458478706</v>
      </c>
      <c r="F82" s="208">
        <f t="shared" si="49"/>
        <v>9.0741008063530995</v>
      </c>
      <c r="G82" s="208">
        <f t="shared" si="49"/>
        <v>2.1739022252653424</v>
      </c>
      <c r="H82" s="208">
        <f t="shared" si="49"/>
        <v>3.3967222269771007</v>
      </c>
      <c r="I82" s="208">
        <f t="shared" si="49"/>
        <v>4.6195422286888528</v>
      </c>
      <c r="J82" s="208">
        <f t="shared" si="49"/>
        <v>3.5714107986502057</v>
      </c>
      <c r="K82" s="208">
        <f t="shared" si="49"/>
        <v>5.5803293728909455</v>
      </c>
      <c r="L82" s="208">
        <f t="shared" si="49"/>
        <v>7.5892479471316872</v>
      </c>
    </row>
    <row r="83" spans="2:34" ht="16.5" thickTop="1" thickBot="1">
      <c r="C83" s="182" t="s">
        <v>301</v>
      </c>
      <c r="D83" s="209">
        <f>D82/D80</f>
        <v>0.18181818181818171</v>
      </c>
      <c r="E83" s="209">
        <f t="shared" ref="E83:L83" si="50">E82/E80</f>
        <v>0.28409090909090923</v>
      </c>
      <c r="F83" s="209">
        <f t="shared" si="50"/>
        <v>0.3863636363636363</v>
      </c>
      <c r="G83" s="209">
        <f t="shared" si="50"/>
        <v>0.18181818181818182</v>
      </c>
      <c r="H83" s="209">
        <f t="shared" si="50"/>
        <v>0.28409090909090939</v>
      </c>
      <c r="I83" s="209">
        <f t="shared" si="50"/>
        <v>0.38636363636363641</v>
      </c>
      <c r="J83" s="209">
        <f t="shared" si="50"/>
        <v>0.18181818181818188</v>
      </c>
      <c r="K83" s="209">
        <f t="shared" si="50"/>
        <v>0.28409090909090917</v>
      </c>
      <c r="L83" s="209">
        <f t="shared" si="50"/>
        <v>0.38636363636363652</v>
      </c>
    </row>
    <row r="84" spans="2:34" s="217" customFormat="1" ht="15.75" thickTop="1">
      <c r="B84" s="214"/>
      <c r="C84" s="215"/>
      <c r="D84" s="216"/>
      <c r="E84" s="216"/>
      <c r="F84" s="216"/>
      <c r="G84" s="216"/>
      <c r="H84" s="216"/>
      <c r="I84" s="216"/>
      <c r="J84" s="216"/>
      <c r="K84" s="216"/>
      <c r="L84" s="216"/>
    </row>
    <row r="85" spans="2:34" s="217" customFormat="1">
      <c r="B85" s="218" t="s">
        <v>311</v>
      </c>
      <c r="C85" s="219"/>
      <c r="D85" s="219"/>
      <c r="E85" s="219"/>
      <c r="F85" s="219"/>
      <c r="G85" s="219"/>
      <c r="H85" s="219"/>
      <c r="I85" s="120" t="s">
        <v>211</v>
      </c>
      <c r="J85" s="219"/>
      <c r="K85" s="219"/>
      <c r="L85" s="219"/>
      <c r="M85" s="178"/>
      <c r="N85" s="178"/>
      <c r="O85" s="178"/>
      <c r="P85" s="178"/>
      <c r="Q85" s="178"/>
      <c r="R85" s="178"/>
      <c r="S85" s="178"/>
      <c r="T85" s="178"/>
      <c r="U85" s="178"/>
      <c r="V85" s="178"/>
    </row>
    <row r="86" spans="2:34" s="217" customFormat="1" ht="13.5" thickBot="1">
      <c r="B86" s="214"/>
      <c r="C86" s="179" t="s">
        <v>266</v>
      </c>
      <c r="D86" s="180"/>
      <c r="E86" s="180"/>
      <c r="F86" s="180"/>
      <c r="G86" s="180"/>
      <c r="H86" s="180"/>
      <c r="I86" s="180"/>
      <c r="J86" s="181"/>
      <c r="K86" s="180"/>
      <c r="L86" s="180"/>
      <c r="M86" s="176"/>
      <c r="N86" s="179" t="s">
        <v>267</v>
      </c>
      <c r="O86" s="180"/>
      <c r="P86" s="180"/>
      <c r="Q86" s="180"/>
      <c r="R86" s="180"/>
      <c r="S86" s="180"/>
      <c r="T86" s="180"/>
      <c r="U86" s="181"/>
      <c r="V86" s="180"/>
      <c r="W86" s="180"/>
      <c r="Y86" s="179" t="s">
        <v>312</v>
      </c>
      <c r="Z86" s="180"/>
      <c r="AA86" s="180"/>
      <c r="AB86" s="180"/>
      <c r="AC86" s="180"/>
      <c r="AD86" s="180"/>
      <c r="AE86" s="180"/>
      <c r="AF86" s="181"/>
      <c r="AG86" s="180"/>
      <c r="AH86" s="180"/>
    </row>
    <row r="87" spans="2:34" s="217" customFormat="1" ht="16.5" customHeight="1" thickTop="1" thickBot="1">
      <c r="B87" s="214"/>
      <c r="C87" s="182" t="s">
        <v>268</v>
      </c>
      <c r="D87" s="344" t="str">
        <f>$D$9</f>
        <v>Primary Shower</v>
      </c>
      <c r="E87" s="344"/>
      <c r="F87" s="344"/>
      <c r="G87" s="344" t="str">
        <f>$G$9</f>
        <v>Secondary Shower</v>
      </c>
      <c r="H87" s="344"/>
      <c r="I87" s="344"/>
      <c r="J87" s="344" t="str">
        <f>$J$9</f>
        <v>Any Shower</v>
      </c>
      <c r="K87" s="344"/>
      <c r="L87" s="344"/>
      <c r="N87" s="182" t="s">
        <v>268</v>
      </c>
      <c r="O87" s="344" t="str">
        <f>$D$9</f>
        <v>Primary Shower</v>
      </c>
      <c r="P87" s="344"/>
      <c r="Q87" s="344"/>
      <c r="R87" s="344" t="str">
        <f>$G$9</f>
        <v>Secondary Shower</v>
      </c>
      <c r="S87" s="344"/>
      <c r="T87" s="344"/>
      <c r="U87" s="344" t="str">
        <f>$J$9</f>
        <v>Any Shower</v>
      </c>
      <c r="V87" s="344"/>
      <c r="W87" s="344"/>
      <c r="Y87" s="182" t="s">
        <v>268</v>
      </c>
      <c r="Z87" s="344" t="str">
        <f>$D$9</f>
        <v>Primary Shower</v>
      </c>
      <c r="AA87" s="344"/>
      <c r="AB87" s="344"/>
      <c r="AC87" s="344" t="str">
        <f>$G$9</f>
        <v>Secondary Shower</v>
      </c>
      <c r="AD87" s="344"/>
      <c r="AE87" s="344"/>
      <c r="AF87" s="345" t="str">
        <f>$J$9</f>
        <v>Any Shower</v>
      </c>
      <c r="AG87" s="345"/>
      <c r="AH87" s="345"/>
    </row>
    <row r="88" spans="2:34" s="217" customFormat="1" ht="34.5" customHeight="1" thickTop="1" thickBot="1">
      <c r="B88" s="214"/>
      <c r="C88" s="182" t="s">
        <v>272</v>
      </c>
      <c r="D88" s="314" t="s">
        <v>273</v>
      </c>
      <c r="E88" s="314" t="s">
        <v>274</v>
      </c>
      <c r="F88" s="314" t="s">
        <v>275</v>
      </c>
      <c r="G88" s="314" t="s">
        <v>273</v>
      </c>
      <c r="H88" s="314" t="s">
        <v>274</v>
      </c>
      <c r="I88" s="314" t="s">
        <v>275</v>
      </c>
      <c r="J88" s="314" t="s">
        <v>273</v>
      </c>
      <c r="K88" s="314" t="s">
        <v>274</v>
      </c>
      <c r="L88" s="314" t="s">
        <v>275</v>
      </c>
      <c r="N88" s="182" t="s">
        <v>272</v>
      </c>
      <c r="O88" s="314" t="s">
        <v>273</v>
      </c>
      <c r="P88" s="314" t="s">
        <v>274</v>
      </c>
      <c r="Q88" s="314" t="s">
        <v>275</v>
      </c>
      <c r="R88" s="314" t="s">
        <v>273</v>
      </c>
      <c r="S88" s="314" t="s">
        <v>274</v>
      </c>
      <c r="T88" s="314" t="s">
        <v>275</v>
      </c>
      <c r="U88" s="314" t="s">
        <v>273</v>
      </c>
      <c r="V88" s="314" t="s">
        <v>274</v>
      </c>
      <c r="W88" s="314" t="s">
        <v>275</v>
      </c>
      <c r="Y88" s="182" t="s">
        <v>272</v>
      </c>
      <c r="Z88" s="314" t="s">
        <v>273</v>
      </c>
      <c r="AA88" s="314" t="s">
        <v>274</v>
      </c>
      <c r="AB88" s="314" t="s">
        <v>275</v>
      </c>
      <c r="AC88" s="314" t="s">
        <v>273</v>
      </c>
      <c r="AD88" s="314" t="s">
        <v>274</v>
      </c>
      <c r="AE88" s="314" t="s">
        <v>275</v>
      </c>
      <c r="AF88" s="315" t="s">
        <v>273</v>
      </c>
      <c r="AG88" s="315" t="s">
        <v>274</v>
      </c>
      <c r="AH88" s="315" t="s">
        <v>275</v>
      </c>
    </row>
    <row r="89" spans="2:34" s="217" customFormat="1" ht="14.25" thickTop="1" thickBot="1">
      <c r="B89" s="214"/>
      <c r="C89" s="220" t="s">
        <v>299</v>
      </c>
      <c r="D89" s="191">
        <f>D40</f>
        <v>6374.8608000000004</v>
      </c>
      <c r="E89" s="191">
        <f t="shared" ref="E89:L89" si="51">E40</f>
        <v>6374.8608000000004</v>
      </c>
      <c r="F89" s="191">
        <f t="shared" si="51"/>
        <v>6374.8608000000004</v>
      </c>
      <c r="G89" s="191">
        <f t="shared" si="51"/>
        <v>3245.3836800000008</v>
      </c>
      <c r="H89" s="191">
        <f t="shared" si="51"/>
        <v>3245.3836800000008</v>
      </c>
      <c r="I89" s="191">
        <f t="shared" si="51"/>
        <v>3245.3836800000008</v>
      </c>
      <c r="J89" s="191">
        <f t="shared" si="51"/>
        <v>5331.7017600000008</v>
      </c>
      <c r="K89" s="191">
        <f t="shared" si="51"/>
        <v>5331.7017600000008</v>
      </c>
      <c r="L89" s="191">
        <f t="shared" si="51"/>
        <v>5331.7017600000008</v>
      </c>
      <c r="N89" s="220" t="s">
        <v>299</v>
      </c>
      <c r="O89" s="191">
        <f>D41</f>
        <v>5215.7952000000005</v>
      </c>
      <c r="P89" s="191">
        <f t="shared" ref="P89:W89" si="52">E41</f>
        <v>4563.8207999999995</v>
      </c>
      <c r="Q89" s="191">
        <f t="shared" si="52"/>
        <v>3911.8464000000004</v>
      </c>
      <c r="R89" s="191">
        <f t="shared" si="52"/>
        <v>2655.3139200000005</v>
      </c>
      <c r="S89" s="191">
        <f t="shared" si="52"/>
        <v>2323.39968</v>
      </c>
      <c r="T89" s="191">
        <f t="shared" si="52"/>
        <v>1991.4854400000004</v>
      </c>
      <c r="U89" s="191">
        <f t="shared" si="52"/>
        <v>4362.3014400000002</v>
      </c>
      <c r="V89" s="191">
        <f t="shared" si="52"/>
        <v>3817.0137599999998</v>
      </c>
      <c r="W89" s="191">
        <f t="shared" si="52"/>
        <v>3271.7260799999999</v>
      </c>
      <c r="Y89" s="220" t="s">
        <v>299</v>
      </c>
      <c r="Z89" s="191">
        <f t="shared" ref="Z89:AH97" si="53">D89-O89</f>
        <v>1159.0655999999999</v>
      </c>
      <c r="AA89" s="191">
        <f t="shared" si="53"/>
        <v>1811.0400000000009</v>
      </c>
      <c r="AB89" s="191">
        <f t="shared" si="53"/>
        <v>2463.0144</v>
      </c>
      <c r="AC89" s="191">
        <f t="shared" si="53"/>
        <v>590.06976000000031</v>
      </c>
      <c r="AD89" s="191">
        <f t="shared" si="53"/>
        <v>921.98400000000083</v>
      </c>
      <c r="AE89" s="191">
        <f t="shared" si="53"/>
        <v>1253.8982400000004</v>
      </c>
      <c r="AF89" s="229">
        <f t="shared" si="53"/>
        <v>969.40032000000065</v>
      </c>
      <c r="AG89" s="229">
        <f t="shared" si="53"/>
        <v>1514.688000000001</v>
      </c>
      <c r="AH89" s="229">
        <f t="shared" si="53"/>
        <v>2059.9756800000009</v>
      </c>
    </row>
    <row r="90" spans="2:34" s="217" customFormat="1" ht="14.25" thickTop="1" thickBot="1">
      <c r="B90" s="214"/>
      <c r="C90" s="220" t="s">
        <v>313</v>
      </c>
      <c r="D90" s="221">
        <f>D45</f>
        <v>97.726616063999998</v>
      </c>
      <c r="E90" s="221">
        <f t="shared" ref="E90:L90" si="54">E45</f>
        <v>97.726616063999998</v>
      </c>
      <c r="F90" s="221">
        <f t="shared" si="54"/>
        <v>97.726616063999998</v>
      </c>
      <c r="G90" s="221">
        <f t="shared" si="54"/>
        <v>49.751731814400017</v>
      </c>
      <c r="H90" s="221">
        <f t="shared" si="54"/>
        <v>49.751731814400017</v>
      </c>
      <c r="I90" s="221">
        <f t="shared" si="54"/>
        <v>49.751731814400017</v>
      </c>
      <c r="J90" s="221">
        <f t="shared" si="54"/>
        <v>81.734987980800014</v>
      </c>
      <c r="K90" s="221">
        <f t="shared" si="54"/>
        <v>81.734987980800014</v>
      </c>
      <c r="L90" s="221">
        <f t="shared" si="54"/>
        <v>81.734987980800014</v>
      </c>
      <c r="N90" s="220" t="s">
        <v>313</v>
      </c>
      <c r="O90" s="196">
        <f>D46</f>
        <v>79.958140416000006</v>
      </c>
      <c r="P90" s="196">
        <f t="shared" ref="P90:W90" si="55">E46</f>
        <v>69.963372863999993</v>
      </c>
      <c r="Q90" s="196">
        <f t="shared" si="55"/>
        <v>59.968605312000008</v>
      </c>
      <c r="R90" s="196">
        <f t="shared" si="55"/>
        <v>40.705962393600004</v>
      </c>
      <c r="S90" s="196">
        <f t="shared" si="55"/>
        <v>35.6177170944</v>
      </c>
      <c r="T90" s="196">
        <f t="shared" si="55"/>
        <v>30.529471795200006</v>
      </c>
      <c r="U90" s="196">
        <f t="shared" si="55"/>
        <v>66.874081075199996</v>
      </c>
      <c r="V90" s="196">
        <f t="shared" si="55"/>
        <v>58.5148209408</v>
      </c>
      <c r="W90" s="196">
        <f t="shared" si="55"/>
        <v>50.155560806399997</v>
      </c>
      <c r="Y90" s="220" t="s">
        <v>313</v>
      </c>
      <c r="Z90" s="196">
        <f t="shared" si="53"/>
        <v>17.768475647999992</v>
      </c>
      <c r="AA90" s="196">
        <f t="shared" si="53"/>
        <v>27.763243200000005</v>
      </c>
      <c r="AB90" s="196">
        <f t="shared" si="53"/>
        <v>37.75801075199999</v>
      </c>
      <c r="AC90" s="196">
        <f t="shared" si="53"/>
        <v>9.0457694208000134</v>
      </c>
      <c r="AD90" s="196">
        <f t="shared" si="53"/>
        <v>14.134014720000017</v>
      </c>
      <c r="AE90" s="196">
        <f t="shared" si="53"/>
        <v>19.222260019200011</v>
      </c>
      <c r="AF90" s="231">
        <f t="shared" si="53"/>
        <v>14.860906905600018</v>
      </c>
      <c r="AG90" s="231">
        <f t="shared" si="53"/>
        <v>23.220167040000014</v>
      </c>
      <c r="AH90" s="231">
        <f t="shared" si="53"/>
        <v>31.579427174400017</v>
      </c>
    </row>
    <row r="91" spans="2:34" s="217" customFormat="1" ht="14.25" thickTop="1" thickBot="1">
      <c r="B91" s="214"/>
      <c r="C91" s="220" t="s">
        <v>314</v>
      </c>
      <c r="D91" s="191">
        <f>D80</f>
        <v>23.485907969384495</v>
      </c>
      <c r="E91" s="191">
        <f t="shared" ref="E91:L91" si="56">E80</f>
        <v>23.485907969384495</v>
      </c>
      <c r="F91" s="191">
        <f t="shared" si="56"/>
        <v>23.485907969384495</v>
      </c>
      <c r="G91" s="191">
        <f t="shared" si="56"/>
        <v>11.956462238959382</v>
      </c>
      <c r="H91" s="191">
        <f t="shared" si="56"/>
        <v>11.956462238959382</v>
      </c>
      <c r="I91" s="191">
        <f t="shared" si="56"/>
        <v>11.956462238959382</v>
      </c>
      <c r="J91" s="191">
        <f t="shared" si="56"/>
        <v>19.642759392576124</v>
      </c>
      <c r="K91" s="191">
        <f t="shared" si="56"/>
        <v>19.642759392576124</v>
      </c>
      <c r="L91" s="191">
        <f t="shared" si="56"/>
        <v>19.642759392576124</v>
      </c>
      <c r="N91" s="220" t="s">
        <v>314</v>
      </c>
      <c r="O91" s="191">
        <f>D81</f>
        <v>19.215742884041862</v>
      </c>
      <c r="P91" s="191">
        <f t="shared" ref="P91:W91" si="57">E81</f>
        <v>16.813775023536625</v>
      </c>
      <c r="Q91" s="191">
        <f t="shared" si="57"/>
        <v>14.411807163031396</v>
      </c>
      <c r="R91" s="191">
        <f t="shared" si="57"/>
        <v>9.7825600136940398</v>
      </c>
      <c r="S91" s="191">
        <f t="shared" si="57"/>
        <v>8.5597400119822815</v>
      </c>
      <c r="T91" s="191">
        <f t="shared" si="57"/>
        <v>7.3369200102705294</v>
      </c>
      <c r="U91" s="191">
        <f t="shared" si="57"/>
        <v>16.071348593925919</v>
      </c>
      <c r="V91" s="191">
        <f t="shared" si="57"/>
        <v>14.062430019685179</v>
      </c>
      <c r="W91" s="191">
        <f t="shared" si="57"/>
        <v>12.053511445444437</v>
      </c>
      <c r="Y91" s="220" t="s">
        <v>314</v>
      </c>
      <c r="Z91" s="191">
        <f t="shared" si="53"/>
        <v>4.2701650853426329</v>
      </c>
      <c r="AA91" s="191">
        <f t="shared" si="53"/>
        <v>6.6721329458478706</v>
      </c>
      <c r="AB91" s="191">
        <f t="shared" si="53"/>
        <v>9.0741008063530995</v>
      </c>
      <c r="AC91" s="191">
        <f t="shared" si="53"/>
        <v>2.1739022252653424</v>
      </c>
      <c r="AD91" s="191">
        <f t="shared" si="53"/>
        <v>3.3967222269771007</v>
      </c>
      <c r="AE91" s="191">
        <f t="shared" si="53"/>
        <v>4.6195422286888528</v>
      </c>
      <c r="AF91" s="229">
        <f t="shared" si="53"/>
        <v>3.5714107986502057</v>
      </c>
      <c r="AG91" s="229">
        <f t="shared" si="53"/>
        <v>5.5803293728909455</v>
      </c>
      <c r="AH91" s="229">
        <f t="shared" si="53"/>
        <v>7.5892479471316872</v>
      </c>
    </row>
    <row r="92" spans="2:34" s="217" customFormat="1" ht="14.25" thickTop="1" thickBot="1">
      <c r="B92" s="214"/>
      <c r="C92" s="220" t="s">
        <v>303</v>
      </c>
      <c r="D92" s="191">
        <f>D50</f>
        <v>4660.0232448000006</v>
      </c>
      <c r="E92" s="191">
        <f t="shared" ref="E92:L92" si="58">E50</f>
        <v>4660.0232448000006</v>
      </c>
      <c r="F92" s="191">
        <f t="shared" si="58"/>
        <v>4660.0232448000006</v>
      </c>
      <c r="G92" s="191">
        <f t="shared" si="58"/>
        <v>2372.3754700800005</v>
      </c>
      <c r="H92" s="191">
        <f t="shared" si="58"/>
        <v>2372.3754700800005</v>
      </c>
      <c r="I92" s="191">
        <f t="shared" si="58"/>
        <v>2372.3754700800005</v>
      </c>
      <c r="J92" s="191">
        <f t="shared" si="58"/>
        <v>3897.4739865600004</v>
      </c>
      <c r="K92" s="191">
        <f t="shared" si="58"/>
        <v>3897.4739865600004</v>
      </c>
      <c r="L92" s="191">
        <f t="shared" si="58"/>
        <v>3897.4739865600004</v>
      </c>
      <c r="N92" s="220" t="s">
        <v>303</v>
      </c>
      <c r="O92" s="191">
        <f>D51</f>
        <v>3937.9253760000006</v>
      </c>
      <c r="P92" s="191">
        <f t="shared" ref="P92:W92" si="59">E51</f>
        <v>3507.2962847999997</v>
      </c>
      <c r="Q92" s="191">
        <f t="shared" si="59"/>
        <v>3059.0638848000003</v>
      </c>
      <c r="R92" s="191">
        <f t="shared" si="59"/>
        <v>2004.7620096000003</v>
      </c>
      <c r="S92" s="191">
        <f t="shared" si="59"/>
        <v>1785.5326540800002</v>
      </c>
      <c r="T92" s="191">
        <f t="shared" si="59"/>
        <v>1557.3416140800005</v>
      </c>
      <c r="U92" s="191">
        <f t="shared" si="59"/>
        <v>3293.5375872</v>
      </c>
      <c r="V92" s="191">
        <f t="shared" si="59"/>
        <v>2933.37507456</v>
      </c>
      <c r="W92" s="191">
        <f t="shared" si="59"/>
        <v>2558.4897945600001</v>
      </c>
      <c r="Y92" s="220" t="s">
        <v>303</v>
      </c>
      <c r="Z92" s="191">
        <f t="shared" si="53"/>
        <v>722.09786880000001</v>
      </c>
      <c r="AA92" s="191">
        <f t="shared" si="53"/>
        <v>1152.7269600000009</v>
      </c>
      <c r="AB92" s="191">
        <f t="shared" si="53"/>
        <v>1600.9593600000003</v>
      </c>
      <c r="AC92" s="191">
        <f t="shared" si="53"/>
        <v>367.61346048000019</v>
      </c>
      <c r="AD92" s="191">
        <f t="shared" si="53"/>
        <v>586.84281600000031</v>
      </c>
      <c r="AE92" s="191">
        <f t="shared" si="53"/>
        <v>815.03385600000001</v>
      </c>
      <c r="AF92" s="229">
        <f t="shared" si="53"/>
        <v>603.93639936000045</v>
      </c>
      <c r="AG92" s="229">
        <f t="shared" si="53"/>
        <v>964.09891200000038</v>
      </c>
      <c r="AH92" s="229">
        <f t="shared" si="53"/>
        <v>1338.9841920000003</v>
      </c>
    </row>
    <row r="93" spans="2:34" s="217" customFormat="1" ht="14.25" thickTop="1" thickBot="1">
      <c r="B93" s="214"/>
      <c r="C93" s="220" t="s">
        <v>315</v>
      </c>
      <c r="D93" s="191">
        <f>D55</f>
        <v>349501.74336000002</v>
      </c>
      <c r="E93" s="191">
        <f t="shared" ref="E93:L93" si="60">E55</f>
        <v>349501.74336000002</v>
      </c>
      <c r="F93" s="191">
        <f t="shared" si="60"/>
        <v>349501.74336000002</v>
      </c>
      <c r="G93" s="191">
        <f t="shared" si="60"/>
        <v>177928.16025600003</v>
      </c>
      <c r="H93" s="191">
        <f t="shared" si="60"/>
        <v>177928.16025600003</v>
      </c>
      <c r="I93" s="191">
        <f t="shared" si="60"/>
        <v>177928.16025600003</v>
      </c>
      <c r="J93" s="191">
        <f t="shared" si="60"/>
        <v>292310.54899200005</v>
      </c>
      <c r="K93" s="191">
        <f t="shared" si="60"/>
        <v>292310.54899200005</v>
      </c>
      <c r="L93" s="191">
        <f t="shared" si="60"/>
        <v>292310.54899200005</v>
      </c>
      <c r="N93" s="220" t="s">
        <v>315</v>
      </c>
      <c r="O93" s="191">
        <f>D56</f>
        <v>295344.40320000006</v>
      </c>
      <c r="P93" s="191">
        <f t="shared" ref="P93:W93" si="61">E56</f>
        <v>263047.22135999997</v>
      </c>
      <c r="Q93" s="191">
        <f t="shared" si="61"/>
        <v>229429.79136000003</v>
      </c>
      <c r="R93" s="191">
        <f t="shared" si="61"/>
        <v>150357.15072000003</v>
      </c>
      <c r="S93" s="191">
        <f t="shared" si="61"/>
        <v>133914.94905600001</v>
      </c>
      <c r="T93" s="191">
        <f t="shared" si="61"/>
        <v>116800.62105600003</v>
      </c>
      <c r="U93" s="191">
        <f t="shared" si="61"/>
        <v>247015.31904</v>
      </c>
      <c r="V93" s="191">
        <f t="shared" si="61"/>
        <v>220003.130592</v>
      </c>
      <c r="W93" s="191">
        <f t="shared" si="61"/>
        <v>191886.73459199999</v>
      </c>
      <c r="Y93" s="220" t="s">
        <v>315</v>
      </c>
      <c r="Z93" s="191">
        <f t="shared" si="53"/>
        <v>54157.340159999963</v>
      </c>
      <c r="AA93" s="191">
        <f t="shared" si="53"/>
        <v>86454.522000000055</v>
      </c>
      <c r="AB93" s="191">
        <f t="shared" si="53"/>
        <v>120071.95199999999</v>
      </c>
      <c r="AC93" s="191">
        <f t="shared" si="53"/>
        <v>27571.009535999998</v>
      </c>
      <c r="AD93" s="191">
        <f t="shared" si="53"/>
        <v>44013.21120000002</v>
      </c>
      <c r="AE93" s="191">
        <f t="shared" si="53"/>
        <v>61127.539199999999</v>
      </c>
      <c r="AF93" s="229">
        <f t="shared" si="53"/>
        <v>45295.229952000052</v>
      </c>
      <c r="AG93" s="229">
        <f t="shared" si="53"/>
        <v>72307.418400000053</v>
      </c>
      <c r="AH93" s="229">
        <f t="shared" si="53"/>
        <v>100423.81440000006</v>
      </c>
    </row>
    <row r="94" spans="2:34" s="217" customFormat="1" ht="27" thickTop="1" thickBot="1">
      <c r="B94" s="214"/>
      <c r="C94" s="220" t="s">
        <v>316</v>
      </c>
      <c r="D94" s="191">
        <f>D60</f>
        <v>871.47903072384008</v>
      </c>
      <c r="E94" s="191">
        <f t="shared" ref="E94:L94" si="62">E60</f>
        <v>871.47903072384008</v>
      </c>
      <c r="F94" s="191">
        <f t="shared" si="62"/>
        <v>871.47903072384008</v>
      </c>
      <c r="G94" s="191">
        <f t="shared" si="62"/>
        <v>443.66205200486411</v>
      </c>
      <c r="H94" s="191">
        <f t="shared" si="62"/>
        <v>443.66205200486411</v>
      </c>
      <c r="I94" s="191">
        <f t="shared" si="62"/>
        <v>443.66205200486411</v>
      </c>
      <c r="J94" s="191">
        <f t="shared" si="62"/>
        <v>728.87337115084813</v>
      </c>
      <c r="K94" s="191">
        <f t="shared" si="62"/>
        <v>728.87337115084813</v>
      </c>
      <c r="L94" s="191">
        <f t="shared" si="62"/>
        <v>728.87337115084813</v>
      </c>
      <c r="N94" s="220" t="s">
        <v>316</v>
      </c>
      <c r="O94" s="191">
        <f>D61</f>
        <v>736.43825566080022</v>
      </c>
      <c r="P94" s="191">
        <f t="shared" ref="P94:W94" si="63">E61</f>
        <v>655.90556230583991</v>
      </c>
      <c r="Q94" s="191">
        <f t="shared" si="63"/>
        <v>572.0808436358401</v>
      </c>
      <c r="R94" s="191">
        <f t="shared" si="63"/>
        <v>374.91402106368008</v>
      </c>
      <c r="S94" s="191">
        <f t="shared" si="63"/>
        <v>333.91555899206406</v>
      </c>
      <c r="T94" s="191">
        <f t="shared" si="63"/>
        <v>291.24115676006409</v>
      </c>
      <c r="U94" s="191">
        <f t="shared" si="63"/>
        <v>615.93017746176008</v>
      </c>
      <c r="V94" s="191">
        <f t="shared" si="63"/>
        <v>548.57556120124798</v>
      </c>
      <c r="W94" s="191">
        <f t="shared" si="63"/>
        <v>478.46761467724798</v>
      </c>
      <c r="Y94" s="220" t="s">
        <v>316</v>
      </c>
      <c r="Z94" s="191">
        <f t="shared" si="53"/>
        <v>135.04077506303986</v>
      </c>
      <c r="AA94" s="191">
        <f t="shared" si="53"/>
        <v>215.57346841800018</v>
      </c>
      <c r="AB94" s="191">
        <f t="shared" si="53"/>
        <v>299.39818708799999</v>
      </c>
      <c r="AC94" s="191">
        <f t="shared" si="53"/>
        <v>68.748030941184027</v>
      </c>
      <c r="AD94" s="191">
        <f t="shared" si="53"/>
        <v>109.74649301280004</v>
      </c>
      <c r="AE94" s="191">
        <f t="shared" si="53"/>
        <v>152.42089524480002</v>
      </c>
      <c r="AF94" s="191">
        <f t="shared" si="53"/>
        <v>112.94319368908805</v>
      </c>
      <c r="AG94" s="191">
        <f t="shared" si="53"/>
        <v>180.29780994960015</v>
      </c>
      <c r="AH94" s="191">
        <f>L94-W94</f>
        <v>250.40575647360015</v>
      </c>
    </row>
    <row r="95" spans="2:34" s="217" customFormat="1" ht="27" thickTop="1" thickBot="1">
      <c r="B95" s="214"/>
      <c r="C95" s="220" t="s">
        <v>306</v>
      </c>
      <c r="D95" s="191">
        <f>D65</f>
        <v>38.864593861632002</v>
      </c>
      <c r="E95" s="191">
        <f t="shared" ref="E95:L95" si="64">E65</f>
        <v>38.864593861632002</v>
      </c>
      <c r="F95" s="191">
        <f t="shared" si="64"/>
        <v>38.864593861632002</v>
      </c>
      <c r="G95" s="191">
        <f t="shared" si="64"/>
        <v>19.785611420467202</v>
      </c>
      <c r="H95" s="191">
        <f t="shared" si="64"/>
        <v>19.785611420467202</v>
      </c>
      <c r="I95" s="191">
        <f t="shared" si="64"/>
        <v>19.785611420467202</v>
      </c>
      <c r="J95" s="191">
        <f t="shared" si="64"/>
        <v>32.504933047910406</v>
      </c>
      <c r="K95" s="191">
        <f t="shared" si="64"/>
        <v>32.504933047910406</v>
      </c>
      <c r="L95" s="191">
        <f t="shared" si="64"/>
        <v>32.504933047910406</v>
      </c>
      <c r="N95" s="220" t="s">
        <v>306</v>
      </c>
      <c r="O95" s="191">
        <f>D66</f>
        <v>32.842297635840005</v>
      </c>
      <c r="P95" s="191">
        <f t="shared" ref="P95:W95" si="65">E66</f>
        <v>29.250851015231994</v>
      </c>
      <c r="Q95" s="191">
        <f t="shared" si="65"/>
        <v>25.512592799232003</v>
      </c>
      <c r="R95" s="191">
        <f t="shared" si="65"/>
        <v>16.719715160064002</v>
      </c>
      <c r="S95" s="191">
        <f t="shared" si="65"/>
        <v>14.891342335027201</v>
      </c>
      <c r="T95" s="191">
        <f t="shared" si="65"/>
        <v>12.988229061427203</v>
      </c>
      <c r="U95" s="191">
        <f t="shared" si="65"/>
        <v>27.468103477247997</v>
      </c>
      <c r="V95" s="191">
        <f t="shared" si="65"/>
        <v>24.464348121830398</v>
      </c>
      <c r="W95" s="191">
        <f t="shared" si="65"/>
        <v>21.337804886630398</v>
      </c>
      <c r="Y95" s="220" t="s">
        <v>306</v>
      </c>
      <c r="Z95" s="191">
        <f t="shared" si="53"/>
        <v>6.0222962257919974</v>
      </c>
      <c r="AA95" s="191">
        <f t="shared" si="53"/>
        <v>9.6137428464000081</v>
      </c>
      <c r="AB95" s="191">
        <f t="shared" si="53"/>
        <v>13.352001062399999</v>
      </c>
      <c r="AC95" s="191">
        <f t="shared" si="53"/>
        <v>3.0658962604031998</v>
      </c>
      <c r="AD95" s="191">
        <f t="shared" si="53"/>
        <v>4.8942690854400013</v>
      </c>
      <c r="AE95" s="191">
        <f t="shared" si="53"/>
        <v>6.7973823590399984</v>
      </c>
      <c r="AF95" s="191">
        <f t="shared" si="53"/>
        <v>5.0368295706624089</v>
      </c>
      <c r="AG95" s="191">
        <f t="shared" si="53"/>
        <v>8.0405849260800082</v>
      </c>
      <c r="AH95" s="191">
        <f t="shared" si="53"/>
        <v>11.167128161280008</v>
      </c>
    </row>
    <row r="96" spans="2:34" s="217" customFormat="1" ht="33.75" customHeight="1" thickTop="1" thickBot="1">
      <c r="B96" s="214"/>
      <c r="C96" s="220" t="s">
        <v>317</v>
      </c>
      <c r="D96" s="191">
        <f>D70</f>
        <v>825.29064209547653</v>
      </c>
      <c r="E96" s="191">
        <f t="shared" ref="E96:L96" si="66">E70</f>
        <v>825.29064209547653</v>
      </c>
      <c r="F96" s="191">
        <f t="shared" si="66"/>
        <v>825.29064209547653</v>
      </c>
      <c r="G96" s="191">
        <f t="shared" si="66"/>
        <v>420.14796324860629</v>
      </c>
      <c r="H96" s="191">
        <f t="shared" si="66"/>
        <v>420.14796324860629</v>
      </c>
      <c r="I96" s="191">
        <f t="shared" si="66"/>
        <v>420.14796324860629</v>
      </c>
      <c r="J96" s="191">
        <f t="shared" si="66"/>
        <v>690.24308247985311</v>
      </c>
      <c r="K96" s="191">
        <f t="shared" si="66"/>
        <v>690.24308247985311</v>
      </c>
      <c r="L96" s="191">
        <f t="shared" si="66"/>
        <v>690.24308247985311</v>
      </c>
      <c r="N96" s="220" t="s">
        <v>317</v>
      </c>
      <c r="O96" s="191">
        <f>D71</f>
        <v>697.40702811077779</v>
      </c>
      <c r="P96" s="191">
        <f t="shared" ref="P96:W96" si="67">E71</f>
        <v>621.1425675036304</v>
      </c>
      <c r="Q96" s="191">
        <f t="shared" si="67"/>
        <v>541.76055892314059</v>
      </c>
      <c r="R96" s="191">
        <f t="shared" si="67"/>
        <v>355.04357794730504</v>
      </c>
      <c r="S96" s="191">
        <f t="shared" si="67"/>
        <v>316.21803436548464</v>
      </c>
      <c r="T96" s="191">
        <f t="shared" si="67"/>
        <v>275.80537545178066</v>
      </c>
      <c r="U96" s="191">
        <f t="shared" si="67"/>
        <v>583.28587805628672</v>
      </c>
      <c r="V96" s="191">
        <f t="shared" si="67"/>
        <v>519.50105645758185</v>
      </c>
      <c r="W96" s="191">
        <f t="shared" si="67"/>
        <v>453.10883109935384</v>
      </c>
      <c r="Y96" s="220" t="s">
        <v>317</v>
      </c>
      <c r="Z96" s="191">
        <f t="shared" si="53"/>
        <v>127.88361398469874</v>
      </c>
      <c r="AA96" s="191">
        <f t="shared" si="53"/>
        <v>204.14807459184613</v>
      </c>
      <c r="AB96" s="191">
        <f t="shared" si="53"/>
        <v>283.53008317233594</v>
      </c>
      <c r="AC96" s="191">
        <f t="shared" si="53"/>
        <v>65.104385301301249</v>
      </c>
      <c r="AD96" s="191">
        <f t="shared" si="53"/>
        <v>103.92992888312165</v>
      </c>
      <c r="AE96" s="191">
        <f t="shared" si="53"/>
        <v>144.34258779682563</v>
      </c>
      <c r="AF96" s="229">
        <f t="shared" si="53"/>
        <v>106.9572044235664</v>
      </c>
      <c r="AG96" s="229">
        <f t="shared" si="53"/>
        <v>170.74202602227126</v>
      </c>
      <c r="AH96" s="229">
        <f t="shared" si="53"/>
        <v>237.13425138049928</v>
      </c>
    </row>
    <row r="97" spans="2:34" s="217" customFormat="1" ht="27" thickTop="1" thickBot="1">
      <c r="B97" s="214"/>
      <c r="C97" s="220" t="s">
        <v>309</v>
      </c>
      <c r="D97" s="191">
        <f>D75</f>
        <v>2.0598234746664978</v>
      </c>
      <c r="E97" s="191">
        <f t="shared" ref="E97:L97" si="68">E75</f>
        <v>2.0598234746664978</v>
      </c>
      <c r="F97" s="191">
        <f t="shared" si="68"/>
        <v>2.0598234746664978</v>
      </c>
      <c r="G97" s="191">
        <f t="shared" si="68"/>
        <v>1.0486374052847627</v>
      </c>
      <c r="H97" s="191">
        <f t="shared" si="68"/>
        <v>1.0486374052847627</v>
      </c>
      <c r="I97" s="191">
        <f t="shared" si="68"/>
        <v>1.0486374052847627</v>
      </c>
      <c r="J97" s="191">
        <f t="shared" si="68"/>
        <v>1.7227614515392531</v>
      </c>
      <c r="K97" s="191">
        <f t="shared" si="68"/>
        <v>1.7227614515392531</v>
      </c>
      <c r="L97" s="191">
        <f t="shared" si="68"/>
        <v>1.7227614515392531</v>
      </c>
      <c r="N97" s="220" t="s">
        <v>309</v>
      </c>
      <c r="O97" s="191">
        <f>D76</f>
        <v>1.7406417746995217</v>
      </c>
      <c r="P97" s="191">
        <f t="shared" ref="P97:W97" si="69">E76</f>
        <v>1.5502951038072972</v>
      </c>
      <c r="Q97" s="191">
        <f t="shared" si="69"/>
        <v>1.3521674183592973</v>
      </c>
      <c r="R97" s="191">
        <f t="shared" si="69"/>
        <v>0.88614490348339292</v>
      </c>
      <c r="S97" s="191">
        <f t="shared" si="69"/>
        <v>0.78924114375644228</v>
      </c>
      <c r="T97" s="191">
        <f t="shared" si="69"/>
        <v>0.68837614025564242</v>
      </c>
      <c r="U97" s="191">
        <f t="shared" si="69"/>
        <v>1.4558094842941451</v>
      </c>
      <c r="V97" s="191">
        <f t="shared" si="69"/>
        <v>1.2966104504570122</v>
      </c>
      <c r="W97" s="191">
        <f t="shared" si="69"/>
        <v>1.1309036589914121</v>
      </c>
      <c r="Y97" s="220" t="s">
        <v>309</v>
      </c>
      <c r="Z97" s="191">
        <f t="shared" si="53"/>
        <v>0.3191816999669761</v>
      </c>
      <c r="AA97" s="191">
        <f t="shared" si="53"/>
        <v>0.50952837085920066</v>
      </c>
      <c r="AB97" s="191">
        <f t="shared" si="53"/>
        <v>0.70765605630720052</v>
      </c>
      <c r="AC97" s="191">
        <f t="shared" si="53"/>
        <v>0.16249250180136976</v>
      </c>
      <c r="AD97" s="191">
        <f t="shared" si="53"/>
        <v>0.2593962615283204</v>
      </c>
      <c r="AE97" s="191">
        <f t="shared" si="53"/>
        <v>0.36026126502912026</v>
      </c>
      <c r="AF97" s="229">
        <f t="shared" si="53"/>
        <v>0.26695196724510795</v>
      </c>
      <c r="AG97" s="229">
        <f t="shared" si="53"/>
        <v>0.42615100108224091</v>
      </c>
      <c r="AH97" s="229">
        <f>L97-W97</f>
        <v>0.59185779254784099</v>
      </c>
    </row>
    <row r="98" spans="2:34" s="217" customFormat="1" ht="15.75" thickTop="1">
      <c r="B98" s="214"/>
      <c r="C98" s="215"/>
      <c r="D98" s="216"/>
      <c r="E98" s="216"/>
      <c r="F98" s="216"/>
      <c r="G98" s="216"/>
      <c r="H98" s="216"/>
      <c r="I98" s="216"/>
      <c r="J98" s="216"/>
      <c r="K98" s="216"/>
      <c r="L98" s="216"/>
    </row>
    <row r="99" spans="2:34">
      <c r="M99" s="175"/>
      <c r="X99" s="175"/>
    </row>
    <row r="101" spans="2:34">
      <c r="C101" s="176" t="s">
        <v>159</v>
      </c>
    </row>
    <row r="102" spans="2:34">
      <c r="C102" s="223" t="s">
        <v>318</v>
      </c>
      <c r="D102" s="225" t="s">
        <v>319</v>
      </c>
      <c r="E102" s="225" t="s">
        <v>320</v>
      </c>
      <c r="F102" s="225" t="s">
        <v>321</v>
      </c>
      <c r="G102"/>
      <c r="H102"/>
      <c r="I102"/>
    </row>
    <row r="103" spans="2:34">
      <c r="C103" s="222" t="s">
        <v>9</v>
      </c>
      <c r="D103" s="224">
        <v>10</v>
      </c>
      <c r="E103" s="224">
        <v>10</v>
      </c>
      <c r="F103" s="224">
        <v>10</v>
      </c>
      <c r="G103"/>
      <c r="H103"/>
      <c r="I103"/>
    </row>
    <row r="104" spans="2:34" ht="31.5" customHeight="1">
      <c r="C104" s="226" t="s">
        <v>10</v>
      </c>
      <c r="D104" s="227">
        <f>'MF Input Assumptions'!$C$55</f>
        <v>25.872</v>
      </c>
      <c r="E104" s="227">
        <f>'MF Input Assumptions'!$C$55</f>
        <v>25.872</v>
      </c>
      <c r="F104" s="227">
        <f>'MF Input Assumptions'!$C$55</f>
        <v>25.872</v>
      </c>
      <c r="G104"/>
      <c r="H104"/>
      <c r="I104"/>
    </row>
    <row r="105" spans="2:34">
      <c r="C105" s="222" t="s">
        <v>11</v>
      </c>
      <c r="D105" s="224">
        <v>0</v>
      </c>
      <c r="E105" s="224">
        <v>0</v>
      </c>
      <c r="F105" s="224">
        <v>0</v>
      </c>
      <c r="G105"/>
      <c r="H105"/>
      <c r="I105"/>
    </row>
    <row r="106" spans="2:34">
      <c r="C106" s="222" t="s">
        <v>12</v>
      </c>
      <c r="D106" s="224" t="s">
        <v>52</v>
      </c>
      <c r="E106" s="224" t="s">
        <v>52</v>
      </c>
      <c r="F106" s="224" t="s">
        <v>52</v>
      </c>
      <c r="G106"/>
      <c r="H106"/>
      <c r="I106"/>
    </row>
    <row r="107" spans="2:34">
      <c r="C107" s="222" t="s">
        <v>13</v>
      </c>
      <c r="D107" s="228">
        <f>J91</f>
        <v>19.642759392576124</v>
      </c>
      <c r="E107" s="228">
        <f>K91</f>
        <v>19.642759392576124</v>
      </c>
      <c r="F107" s="228">
        <f>L91</f>
        <v>19.642759392576124</v>
      </c>
      <c r="G107"/>
      <c r="H107"/>
      <c r="I107"/>
    </row>
    <row r="108" spans="2:34">
      <c r="C108" s="222" t="s">
        <v>14</v>
      </c>
      <c r="D108" s="225">
        <v>0</v>
      </c>
      <c r="E108" s="225">
        <v>0</v>
      </c>
      <c r="F108" s="225">
        <v>0</v>
      </c>
      <c r="G108"/>
      <c r="H108"/>
      <c r="I108"/>
    </row>
    <row r="109" spans="2:34">
      <c r="C109" s="222" t="s">
        <v>15</v>
      </c>
      <c r="D109" s="225">
        <v>0</v>
      </c>
      <c r="E109" s="225">
        <v>0</v>
      </c>
      <c r="F109" s="225">
        <v>0</v>
      </c>
      <c r="G109"/>
      <c r="H109"/>
      <c r="I109"/>
    </row>
    <row r="110" spans="2:34">
      <c r="C110" s="222" t="s">
        <v>16</v>
      </c>
      <c r="D110" s="225">
        <v>0</v>
      </c>
      <c r="E110" s="225">
        <v>0</v>
      </c>
      <c r="F110" s="225">
        <v>0</v>
      </c>
      <c r="G110"/>
      <c r="H110"/>
      <c r="I110"/>
    </row>
    <row r="111" spans="2:34">
      <c r="C111" s="222" t="s">
        <v>17</v>
      </c>
      <c r="D111" s="225">
        <v>0</v>
      </c>
      <c r="E111" s="225">
        <v>0</v>
      </c>
      <c r="F111" s="225">
        <v>0</v>
      </c>
      <c r="G111"/>
      <c r="H111"/>
      <c r="I111"/>
    </row>
    <row r="112" spans="2:34">
      <c r="C112" s="222" t="s">
        <v>18</v>
      </c>
      <c r="D112" s="225">
        <v>0</v>
      </c>
      <c r="E112" s="225">
        <v>0</v>
      </c>
      <c r="F112" s="225">
        <v>0</v>
      </c>
      <c r="G112"/>
      <c r="H112"/>
      <c r="I112"/>
    </row>
    <row r="113" spans="3:9">
      <c r="C113" s="222" t="s">
        <v>19</v>
      </c>
      <c r="D113" s="225">
        <v>0</v>
      </c>
      <c r="E113" s="225">
        <v>0</v>
      </c>
      <c r="F113" s="225">
        <v>0</v>
      </c>
      <c r="G113"/>
      <c r="H113"/>
      <c r="I113"/>
    </row>
  </sheetData>
  <mergeCells count="22">
    <mergeCell ref="AU67:BD73"/>
    <mergeCell ref="D87:F87"/>
    <mergeCell ref="G87:I87"/>
    <mergeCell ref="J87:L87"/>
    <mergeCell ref="O87:Q87"/>
    <mergeCell ref="R87:T87"/>
    <mergeCell ref="U87:W87"/>
    <mergeCell ref="Z87:AB87"/>
    <mergeCell ref="AC87:AE87"/>
    <mergeCell ref="AF87:AH87"/>
    <mergeCell ref="AB27:AM29"/>
    <mergeCell ref="D37:F37"/>
    <mergeCell ref="G37:I37"/>
    <mergeCell ref="J37:L37"/>
    <mergeCell ref="BL42:BT47"/>
    <mergeCell ref="AC46:AK50"/>
    <mergeCell ref="U9:W9"/>
    <mergeCell ref="D9:F9"/>
    <mergeCell ref="G9:I9"/>
    <mergeCell ref="J9:L9"/>
    <mergeCell ref="O9:Q9"/>
    <mergeCell ref="R9:T9"/>
  </mergeCells>
  <hyperlinks>
    <hyperlink ref="I7" location="'Residential Analysis'!A1" display="back to top"/>
    <hyperlink ref="I35" location="'Residential Analysis'!A1" display="back to top"/>
    <hyperlink ref="I85" location="'Residential Analysis'!A1" display="back to top"/>
    <hyperlink ref="B3" location="ResAnalyses" display="Baseline Analyses"/>
    <hyperlink ref="B4" location="ResConsumptionAndGrossSavings" display="Consumption and Gross Savings"/>
    <hyperlink ref="B5" location="ResSummaryConsumptionAndGrossSavings" display="ResSummaryConsumptionAndGrossSavings"/>
  </hyperlink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sheetPr>
    <tabColor theme="6" tint="0.39997558519241921"/>
  </sheetPr>
  <dimension ref="A1:BW113"/>
  <sheetViews>
    <sheetView topLeftCell="B1" zoomScale="70" zoomScaleNormal="70" workbookViewId="0">
      <selection activeCell="C14" sqref="C14"/>
    </sheetView>
  </sheetViews>
  <sheetFormatPr defaultRowHeight="12.75"/>
  <cols>
    <col min="1" max="1" width="9.140625" style="176"/>
    <col min="2" max="2" width="14.7109375" style="175" customWidth="1"/>
    <col min="3" max="3" width="37.7109375" style="176" customWidth="1"/>
    <col min="4" max="4" width="30.28515625" style="176" customWidth="1"/>
    <col min="5" max="12" width="9.42578125" style="176" customWidth="1"/>
    <col min="13" max="13" width="9.140625" style="176"/>
    <col min="14" max="14" width="37.7109375" style="176" customWidth="1"/>
    <col min="15" max="23" width="9.42578125" style="176" customWidth="1"/>
    <col min="24" max="24" width="9.140625" style="176"/>
    <col min="25" max="25" width="37.7109375" style="176" customWidth="1"/>
    <col min="26" max="34" width="9.42578125" style="176" customWidth="1"/>
    <col min="35" max="43" width="9.140625" style="176"/>
    <col min="44" max="44" width="5.140625" style="176" customWidth="1"/>
    <col min="45" max="45" width="15.140625" style="176" customWidth="1"/>
    <col min="46" max="16384" width="9.140625" style="176"/>
  </cols>
  <sheetData>
    <row r="1" spans="1:75">
      <c r="A1" s="174" t="s">
        <v>264</v>
      </c>
    </row>
    <row r="2" spans="1:75" ht="15">
      <c r="B2" s="99" t="s">
        <v>204</v>
      </c>
      <c r="C2" s="100"/>
      <c r="D2" s="100"/>
      <c r="E2" s="100"/>
    </row>
    <row r="3" spans="1:75" ht="15">
      <c r="B3" s="104" t="e">
        <f>ResAnalyses</f>
        <v>#NAME?</v>
      </c>
      <c r="C3" s="105"/>
      <c r="D3" s="105"/>
      <c r="E3" s="105"/>
    </row>
    <row r="4" spans="1:75" ht="15">
      <c r="B4" s="104" t="e">
        <f>ResConsumptionAndGrossSavings</f>
        <v>#NAME?</v>
      </c>
      <c r="C4" s="105"/>
      <c r="D4" s="105"/>
      <c r="E4" s="105"/>
    </row>
    <row r="5" spans="1:75" ht="15">
      <c r="B5" s="104" t="e">
        <f>ResSummaryConsumptionAndGrossSavings</f>
        <v>#NAME?</v>
      </c>
      <c r="C5" s="105"/>
      <c r="D5" s="105"/>
      <c r="E5" s="105"/>
    </row>
    <row r="7" spans="1:75">
      <c r="B7" s="177" t="s">
        <v>265</v>
      </c>
      <c r="C7" s="178"/>
      <c r="D7" s="178"/>
      <c r="E7" s="178"/>
      <c r="F7" s="178"/>
      <c r="G7" s="178"/>
      <c r="H7" s="178"/>
      <c r="I7" s="120" t="s">
        <v>211</v>
      </c>
      <c r="J7" s="178"/>
      <c r="K7" s="178"/>
      <c r="L7" s="178"/>
    </row>
    <row r="8" spans="1:75" ht="13.5" thickBot="1">
      <c r="C8" s="179" t="s">
        <v>266</v>
      </c>
      <c r="D8" s="180"/>
      <c r="E8" s="180"/>
      <c r="F8" s="180"/>
      <c r="G8" s="180"/>
      <c r="H8" s="180"/>
      <c r="I8" s="180"/>
      <c r="J8" s="181"/>
      <c r="K8" s="180"/>
      <c r="L8" s="180"/>
      <c r="N8" s="179" t="s">
        <v>267</v>
      </c>
      <c r="O8" s="180"/>
      <c r="P8" s="180"/>
      <c r="Q8" s="180"/>
      <c r="R8" s="180"/>
      <c r="S8" s="180"/>
      <c r="T8" s="180"/>
      <c r="U8" s="181"/>
      <c r="V8" s="180"/>
      <c r="W8" s="180"/>
    </row>
    <row r="9" spans="1:75" ht="16.5" customHeight="1" thickTop="1" thickBot="1">
      <c r="C9" s="182" t="s">
        <v>268</v>
      </c>
      <c r="D9" s="344" t="s">
        <v>269</v>
      </c>
      <c r="E9" s="344"/>
      <c r="F9" s="344"/>
      <c r="G9" s="344" t="s">
        <v>270</v>
      </c>
      <c r="H9" s="344"/>
      <c r="I9" s="344"/>
      <c r="J9" s="344" t="s">
        <v>271</v>
      </c>
      <c r="K9" s="344"/>
      <c r="L9" s="344"/>
      <c r="N9" s="182" t="s">
        <v>268</v>
      </c>
      <c r="O9" s="344" t="str">
        <f>$D$9</f>
        <v>Primary Shower</v>
      </c>
      <c r="P9" s="344"/>
      <c r="Q9" s="344"/>
      <c r="R9" s="344" t="str">
        <f>$G$9</f>
        <v>Secondary Shower</v>
      </c>
      <c r="S9" s="344"/>
      <c r="T9" s="344"/>
      <c r="U9" s="344" t="str">
        <f>$J$9</f>
        <v>Any Shower</v>
      </c>
      <c r="V9" s="344"/>
      <c r="W9" s="344"/>
      <c r="AR9" s="183"/>
      <c r="AS9" s="184"/>
      <c r="AT9" s="184"/>
      <c r="AU9" s="184"/>
      <c r="AV9" s="184"/>
      <c r="AW9" s="184"/>
      <c r="AX9" s="184"/>
      <c r="AY9" s="184"/>
      <c r="AZ9" s="184"/>
      <c r="BA9" s="184"/>
      <c r="BB9" s="184"/>
      <c r="BC9" s="184"/>
      <c r="BD9" s="184"/>
      <c r="BE9" s="184"/>
      <c r="BF9" s="185"/>
    </row>
    <row r="10" spans="1:75" ht="31.5" customHeight="1" thickTop="1" thickBot="1">
      <c r="C10" s="182" t="s">
        <v>272</v>
      </c>
      <c r="D10" s="314" t="s">
        <v>273</v>
      </c>
      <c r="E10" s="314" t="s">
        <v>274</v>
      </c>
      <c r="F10" s="314" t="s">
        <v>275</v>
      </c>
      <c r="G10" s="314" t="s">
        <v>273</v>
      </c>
      <c r="H10" s="314" t="s">
        <v>274</v>
      </c>
      <c r="I10" s="314" t="s">
        <v>275</v>
      </c>
      <c r="J10" s="314" t="s">
        <v>273</v>
      </c>
      <c r="K10" s="314" t="s">
        <v>274</v>
      </c>
      <c r="L10" s="314" t="s">
        <v>275</v>
      </c>
      <c r="N10" s="182" t="s">
        <v>272</v>
      </c>
      <c r="O10" s="314" t="s">
        <v>273</v>
      </c>
      <c r="P10" s="314" t="s">
        <v>274</v>
      </c>
      <c r="Q10" s="314" t="s">
        <v>275</v>
      </c>
      <c r="R10" s="314" t="s">
        <v>273</v>
      </c>
      <c r="S10" s="314" t="s">
        <v>274</v>
      </c>
      <c r="T10" s="314" t="s">
        <v>275</v>
      </c>
      <c r="U10" s="314" t="s">
        <v>273</v>
      </c>
      <c r="V10" s="314" t="s">
        <v>274</v>
      </c>
      <c r="W10" s="314" t="s">
        <v>275</v>
      </c>
      <c r="Z10" s="183"/>
      <c r="AA10" s="184"/>
      <c r="AB10" s="184"/>
      <c r="AC10" s="184"/>
      <c r="AD10" s="184"/>
      <c r="AE10" s="184"/>
      <c r="AF10" s="184"/>
      <c r="AG10" s="184"/>
      <c r="AH10" s="184"/>
      <c r="AI10" s="184"/>
      <c r="AJ10" s="184"/>
      <c r="AK10" s="184"/>
      <c r="AL10" s="184"/>
      <c r="AM10" s="184"/>
      <c r="AN10" s="184"/>
      <c r="AO10" s="185"/>
      <c r="AR10" s="186"/>
      <c r="AS10" s="187"/>
      <c r="AT10" s="187"/>
      <c r="AU10" s="187"/>
      <c r="AV10" s="187"/>
      <c r="AW10" s="187"/>
      <c r="AX10" s="187"/>
      <c r="AY10" s="187"/>
      <c r="AZ10" s="187"/>
      <c r="BA10" s="187"/>
      <c r="BB10" s="187"/>
      <c r="BC10" s="187"/>
      <c r="BD10" s="187"/>
      <c r="BE10" s="187"/>
      <c r="BF10" s="188"/>
      <c r="BI10" s="183"/>
      <c r="BJ10" s="184"/>
      <c r="BK10" s="184"/>
      <c r="BL10" s="184"/>
      <c r="BM10" s="184"/>
      <c r="BN10" s="184"/>
      <c r="BO10" s="184"/>
      <c r="BP10" s="184"/>
      <c r="BQ10" s="184"/>
      <c r="BR10" s="184"/>
      <c r="BS10" s="184"/>
      <c r="BT10" s="184"/>
      <c r="BU10" s="184"/>
      <c r="BV10" s="184"/>
      <c r="BW10" s="185"/>
    </row>
    <row r="11" spans="1:75" ht="27" thickTop="1" thickBot="1">
      <c r="C11" s="189" t="s">
        <v>276</v>
      </c>
      <c r="D11" s="189">
        <v>0.55000000000000004</v>
      </c>
      <c r="E11" s="189">
        <v>0.55000000000000004</v>
      </c>
      <c r="F11" s="189">
        <v>0.55000000000000004</v>
      </c>
      <c r="G11" s="189">
        <v>0.28000000000000003</v>
      </c>
      <c r="H11" s="189">
        <v>0.28000000000000003</v>
      </c>
      <c r="I11" s="189">
        <v>0.28000000000000003</v>
      </c>
      <c r="J11" s="189">
        <v>0.46</v>
      </c>
      <c r="K11" s="189">
        <v>0.46</v>
      </c>
      <c r="L11" s="189">
        <v>0.46</v>
      </c>
      <c r="N11" s="189" t="s">
        <v>276</v>
      </c>
      <c r="O11" s="189">
        <v>0.55000000000000004</v>
      </c>
      <c r="P11" s="189">
        <v>0.55000000000000004</v>
      </c>
      <c r="Q11" s="189">
        <v>0.55000000000000004</v>
      </c>
      <c r="R11" s="189">
        <v>0.28000000000000003</v>
      </c>
      <c r="S11" s="189">
        <v>0.28000000000000003</v>
      </c>
      <c r="T11" s="189">
        <v>0.28000000000000003</v>
      </c>
      <c r="U11" s="189">
        <v>0.46</v>
      </c>
      <c r="V11" s="189">
        <v>0.46</v>
      </c>
      <c r="W11" s="189">
        <v>0.46</v>
      </c>
      <c r="Z11" s="186"/>
      <c r="AA11" s="187"/>
      <c r="AB11" s="187"/>
      <c r="AC11" s="187"/>
      <c r="AD11" s="187"/>
      <c r="AE11" s="187"/>
      <c r="AF11" s="187"/>
      <c r="AG11" s="187"/>
      <c r="AH11" s="187"/>
      <c r="AI11" s="187"/>
      <c r="AJ11" s="187"/>
      <c r="AK11" s="187"/>
      <c r="AL11" s="187"/>
      <c r="AM11" s="187"/>
      <c r="AN11" s="187"/>
      <c r="AO11" s="188"/>
      <c r="AR11" s="186"/>
      <c r="AS11" s="187"/>
      <c r="AT11" s="187"/>
      <c r="AU11" s="187"/>
      <c r="AV11" s="187"/>
      <c r="AW11" s="187"/>
      <c r="AX11" s="187"/>
      <c r="AY11" s="187"/>
      <c r="AZ11" s="187"/>
      <c r="BA11" s="187"/>
      <c r="BB11" s="187"/>
      <c r="BC11" s="187"/>
      <c r="BD11" s="187"/>
      <c r="BE11" s="187"/>
      <c r="BF11" s="188"/>
      <c r="BI11" s="186"/>
      <c r="BJ11" s="187"/>
      <c r="BK11" s="187"/>
      <c r="BL11" s="187"/>
      <c r="BM11" s="187"/>
      <c r="BN11" s="187"/>
      <c r="BO11" s="187"/>
      <c r="BP11" s="187"/>
      <c r="BQ11" s="187"/>
      <c r="BR11" s="187"/>
      <c r="BS11" s="187"/>
      <c r="BT11" s="187"/>
      <c r="BU11" s="187"/>
      <c r="BV11" s="187"/>
      <c r="BW11" s="188"/>
    </row>
    <row r="12" spans="1:75" ht="27" customHeight="1" thickTop="1" thickBot="1">
      <c r="C12" s="189" t="s">
        <v>277</v>
      </c>
      <c r="D12" s="189">
        <v>350</v>
      </c>
      <c r="E12" s="189">
        <v>350</v>
      </c>
      <c r="F12" s="189">
        <v>350</v>
      </c>
      <c r="G12" s="189">
        <v>350</v>
      </c>
      <c r="H12" s="189">
        <v>350</v>
      </c>
      <c r="I12" s="189">
        <v>350</v>
      </c>
      <c r="J12" s="189">
        <v>350</v>
      </c>
      <c r="K12" s="189">
        <v>350</v>
      </c>
      <c r="L12" s="189">
        <v>350</v>
      </c>
      <c r="N12" s="189" t="s">
        <v>277</v>
      </c>
      <c r="O12" s="189">
        <v>350</v>
      </c>
      <c r="P12" s="189">
        <v>350</v>
      </c>
      <c r="Q12" s="189">
        <v>350</v>
      </c>
      <c r="R12" s="189">
        <v>350</v>
      </c>
      <c r="S12" s="189">
        <v>350</v>
      </c>
      <c r="T12" s="189">
        <v>350</v>
      </c>
      <c r="U12" s="189">
        <v>350</v>
      </c>
      <c r="V12" s="189">
        <v>350</v>
      </c>
      <c r="W12" s="189">
        <v>350</v>
      </c>
      <c r="Z12" s="186"/>
      <c r="AA12" s="187"/>
      <c r="AB12" s="187"/>
      <c r="AC12" s="187"/>
      <c r="AD12" s="187"/>
      <c r="AE12" s="187"/>
      <c r="AF12" s="187"/>
      <c r="AG12" s="187"/>
      <c r="AH12" s="187"/>
      <c r="AI12" s="187"/>
      <c r="AJ12" s="187"/>
      <c r="AK12" s="187"/>
      <c r="AL12" s="187"/>
      <c r="AM12" s="187"/>
      <c r="AN12" s="187"/>
      <c r="AO12" s="188"/>
      <c r="AR12" s="186"/>
      <c r="AS12" s="187"/>
      <c r="AT12" s="187"/>
      <c r="AU12" s="187"/>
      <c r="AV12" s="187"/>
      <c r="AW12" s="187"/>
      <c r="AX12" s="187"/>
      <c r="AY12" s="187"/>
      <c r="AZ12" s="187"/>
      <c r="BA12" s="187"/>
      <c r="BB12" s="187"/>
      <c r="BC12" s="187"/>
      <c r="BD12" s="187"/>
      <c r="BE12" s="187"/>
      <c r="BF12" s="188"/>
      <c r="BI12" s="186"/>
      <c r="BJ12" s="187"/>
      <c r="BK12" s="187"/>
      <c r="BL12" s="187"/>
      <c r="BM12" s="187"/>
      <c r="BN12" s="187"/>
      <c r="BO12" s="187"/>
      <c r="BP12" s="187"/>
      <c r="BQ12" s="187"/>
      <c r="BR12" s="187"/>
      <c r="BS12" s="187"/>
      <c r="BT12" s="187"/>
      <c r="BU12" s="187"/>
      <c r="BV12" s="187"/>
      <c r="BW12" s="188"/>
    </row>
    <row r="13" spans="1:75" ht="27" thickTop="1" thickBot="1">
      <c r="C13" s="189" t="s">
        <v>643</v>
      </c>
      <c r="D13" s="189">
        <f>'MH Input Assumptions'!$D$20</f>
        <v>2.5099999999999998</v>
      </c>
      <c r="E13" s="189">
        <f>'MH Input Assumptions'!$D$20</f>
        <v>2.5099999999999998</v>
      </c>
      <c r="F13" s="189">
        <f>'MH Input Assumptions'!$D$20</f>
        <v>2.5099999999999998</v>
      </c>
      <c r="G13" s="189">
        <f>'MH Input Assumptions'!$D$20</f>
        <v>2.5099999999999998</v>
      </c>
      <c r="H13" s="189">
        <f>'MH Input Assumptions'!$D$20</f>
        <v>2.5099999999999998</v>
      </c>
      <c r="I13" s="189">
        <f>'MH Input Assumptions'!$D$20</f>
        <v>2.5099999999999998</v>
      </c>
      <c r="J13" s="189">
        <f>'MH Input Assumptions'!$D$20</f>
        <v>2.5099999999999998</v>
      </c>
      <c r="K13" s="189">
        <f>'MH Input Assumptions'!$D$20</f>
        <v>2.5099999999999998</v>
      </c>
      <c r="L13" s="189">
        <f>'MH Input Assumptions'!$D$20</f>
        <v>2.5099999999999998</v>
      </c>
      <c r="N13" s="189" t="s">
        <v>278</v>
      </c>
      <c r="O13" s="189">
        <f>'MH Input Assumptions'!$D$20</f>
        <v>2.5099999999999998</v>
      </c>
      <c r="P13" s="189">
        <f>'MH Input Assumptions'!$D$20</f>
        <v>2.5099999999999998</v>
      </c>
      <c r="Q13" s="189">
        <f>'MH Input Assumptions'!$D$20</f>
        <v>2.5099999999999998</v>
      </c>
      <c r="R13" s="189">
        <f>'MH Input Assumptions'!$D$20</f>
        <v>2.5099999999999998</v>
      </c>
      <c r="S13" s="189">
        <f>'MH Input Assumptions'!$D$20</f>
        <v>2.5099999999999998</v>
      </c>
      <c r="T13" s="189">
        <f>'MH Input Assumptions'!$D$20</f>
        <v>2.5099999999999998</v>
      </c>
      <c r="U13" s="189">
        <f>'MH Input Assumptions'!$D$20</f>
        <v>2.5099999999999998</v>
      </c>
      <c r="V13" s="189">
        <f>'MH Input Assumptions'!$D$20</f>
        <v>2.5099999999999998</v>
      </c>
      <c r="W13" s="189">
        <f>'MH Input Assumptions'!$D$20</f>
        <v>2.5099999999999998</v>
      </c>
      <c r="Z13" s="186"/>
      <c r="AA13" s="187"/>
      <c r="AB13" s="187"/>
      <c r="AC13" s="187"/>
      <c r="AD13" s="187"/>
      <c r="AE13" s="187"/>
      <c r="AF13" s="187"/>
      <c r="AG13" s="187"/>
      <c r="AH13" s="187"/>
      <c r="AI13" s="187"/>
      <c r="AJ13" s="187"/>
      <c r="AK13" s="187"/>
      <c r="AL13" s="187"/>
      <c r="AM13" s="187"/>
      <c r="AN13" s="187"/>
      <c r="AO13" s="188"/>
      <c r="AR13" s="186"/>
      <c r="AS13" s="187"/>
      <c r="AT13" s="187"/>
      <c r="AU13" s="187"/>
      <c r="AV13" s="187"/>
      <c r="AW13" s="187"/>
      <c r="AX13" s="187"/>
      <c r="AY13" s="187"/>
      <c r="AZ13" s="187"/>
      <c r="BA13" s="187"/>
      <c r="BB13" s="187"/>
      <c r="BC13" s="187"/>
      <c r="BD13" s="187"/>
      <c r="BE13" s="187"/>
      <c r="BF13" s="188"/>
      <c r="BI13" s="186"/>
      <c r="BJ13" s="187"/>
      <c r="BK13" s="187"/>
      <c r="BL13" s="187"/>
      <c r="BM13" s="187"/>
      <c r="BN13" s="187"/>
      <c r="BO13" s="187"/>
      <c r="BP13" s="187"/>
      <c r="BQ13" s="187"/>
      <c r="BR13" s="187"/>
      <c r="BS13" s="187"/>
      <c r="BT13" s="187"/>
      <c r="BU13" s="187"/>
      <c r="BV13" s="187"/>
      <c r="BW13" s="188"/>
    </row>
    <row r="14" spans="1:75" ht="27" customHeight="1" thickTop="1" thickBot="1">
      <c r="C14" s="189" t="s">
        <v>279</v>
      </c>
      <c r="D14" s="190">
        <f>'MH Input Assumptions'!$D$26</f>
        <v>7.84</v>
      </c>
      <c r="E14" s="190">
        <f>'MH Input Assumptions'!$D$26</f>
        <v>7.84</v>
      </c>
      <c r="F14" s="190">
        <f>'MH Input Assumptions'!$D$26</f>
        <v>7.84</v>
      </c>
      <c r="G14" s="190">
        <f>'MH Input Assumptions'!$D$26</f>
        <v>7.84</v>
      </c>
      <c r="H14" s="190">
        <f>'MH Input Assumptions'!$D$26</f>
        <v>7.84</v>
      </c>
      <c r="I14" s="190">
        <f>'MH Input Assumptions'!$D$26</f>
        <v>7.84</v>
      </c>
      <c r="J14" s="190">
        <f>'MH Input Assumptions'!$D$26</f>
        <v>7.84</v>
      </c>
      <c r="K14" s="190">
        <f>'MH Input Assumptions'!$D$26</f>
        <v>7.84</v>
      </c>
      <c r="L14" s="190">
        <f>'MH Input Assumptions'!$D$26</f>
        <v>7.84</v>
      </c>
      <c r="N14" s="189" t="s">
        <v>279</v>
      </c>
      <c r="O14" s="190">
        <f>'MH Input Assumptions'!D27</f>
        <v>7.84</v>
      </c>
      <c r="P14" s="190">
        <f>'MH Input Assumptions'!D28</f>
        <v>7.84</v>
      </c>
      <c r="Q14" s="190">
        <f>'MH Input Assumptions'!D29</f>
        <v>7.84</v>
      </c>
      <c r="R14" s="190">
        <f>O14</f>
        <v>7.84</v>
      </c>
      <c r="S14" s="190">
        <f>P14</f>
        <v>7.84</v>
      </c>
      <c r="T14" s="190">
        <f>Q14</f>
        <v>7.84</v>
      </c>
      <c r="U14" s="190">
        <f>O14</f>
        <v>7.84</v>
      </c>
      <c r="V14" s="190">
        <f>P14</f>
        <v>7.84</v>
      </c>
      <c r="W14" s="190">
        <f>Q14</f>
        <v>7.84</v>
      </c>
      <c r="Z14" s="186"/>
      <c r="AA14" s="187"/>
      <c r="AB14" s="187"/>
      <c r="AC14" s="187"/>
      <c r="AD14" s="187"/>
      <c r="AE14" s="187"/>
      <c r="AF14" s="187"/>
      <c r="AG14" s="187"/>
      <c r="AH14" s="187"/>
      <c r="AI14" s="187"/>
      <c r="AJ14" s="187"/>
      <c r="AK14" s="187"/>
      <c r="AL14" s="187"/>
      <c r="AM14" s="187"/>
      <c r="AN14" s="187"/>
      <c r="AO14" s="188"/>
      <c r="AR14" s="186"/>
      <c r="AS14" s="187"/>
      <c r="AT14" s="187"/>
      <c r="AU14" s="187"/>
      <c r="AV14" s="187"/>
      <c r="AW14" s="187"/>
      <c r="AX14" s="187"/>
      <c r="AY14" s="187"/>
      <c r="AZ14" s="187"/>
      <c r="BA14" s="187"/>
      <c r="BB14" s="187"/>
      <c r="BC14" s="187"/>
      <c r="BD14" s="187"/>
      <c r="BE14" s="187"/>
      <c r="BF14" s="188"/>
      <c r="BI14" s="186"/>
      <c r="BJ14" s="187"/>
      <c r="BK14" s="187"/>
      <c r="BL14" s="187"/>
      <c r="BM14" s="187"/>
      <c r="BN14" s="187"/>
      <c r="BO14" s="187"/>
      <c r="BP14" s="187"/>
      <c r="BQ14" s="187"/>
      <c r="BR14" s="187"/>
      <c r="BS14" s="187"/>
      <c r="BT14" s="187"/>
      <c r="BU14" s="187"/>
      <c r="BV14" s="187"/>
      <c r="BW14" s="188"/>
    </row>
    <row r="15" spans="1:75" ht="27" customHeight="1" thickTop="1" thickBot="1">
      <c r="C15" s="189" t="s">
        <v>280</v>
      </c>
      <c r="D15" s="191">
        <f t="shared" ref="D15:L15" si="0">D11*D12*D13*D14</f>
        <v>3788.0920000000001</v>
      </c>
      <c r="E15" s="191">
        <f t="shared" si="0"/>
        <v>3788.0920000000001</v>
      </c>
      <c r="F15" s="191">
        <f t="shared" si="0"/>
        <v>3788.0920000000001</v>
      </c>
      <c r="G15" s="191">
        <f t="shared" si="0"/>
        <v>1928.4832000000001</v>
      </c>
      <c r="H15" s="191">
        <f t="shared" si="0"/>
        <v>1928.4832000000001</v>
      </c>
      <c r="I15" s="191">
        <f t="shared" si="0"/>
        <v>1928.4832000000001</v>
      </c>
      <c r="J15" s="191">
        <f t="shared" si="0"/>
        <v>3168.2223999999997</v>
      </c>
      <c r="K15" s="191">
        <f t="shared" si="0"/>
        <v>3168.2223999999997</v>
      </c>
      <c r="L15" s="191">
        <f t="shared" si="0"/>
        <v>3168.2223999999997</v>
      </c>
      <c r="N15" s="189" t="s">
        <v>280</v>
      </c>
      <c r="O15" s="191">
        <f t="shared" ref="O15:V15" si="1">O11*O12*O13*O14</f>
        <v>3788.0920000000001</v>
      </c>
      <c r="P15" s="191">
        <f t="shared" si="1"/>
        <v>3788.0920000000001</v>
      </c>
      <c r="Q15" s="191">
        <f t="shared" si="1"/>
        <v>3788.0920000000001</v>
      </c>
      <c r="R15" s="191">
        <f t="shared" si="1"/>
        <v>1928.4832000000001</v>
      </c>
      <c r="S15" s="191">
        <f t="shared" si="1"/>
        <v>1928.4832000000001</v>
      </c>
      <c r="T15" s="191">
        <f t="shared" si="1"/>
        <v>1928.4832000000001</v>
      </c>
      <c r="U15" s="191">
        <f t="shared" si="1"/>
        <v>3168.2223999999997</v>
      </c>
      <c r="V15" s="191">
        <f t="shared" si="1"/>
        <v>3168.2223999999997</v>
      </c>
      <c r="W15" s="191">
        <f>W11*W12*W13*W14</f>
        <v>3168.2223999999997</v>
      </c>
      <c r="Z15" s="186"/>
      <c r="AA15" s="187"/>
      <c r="AB15" s="187"/>
      <c r="AC15" s="187"/>
      <c r="AD15" s="187"/>
      <c r="AE15" s="187"/>
      <c r="AF15" s="187"/>
      <c r="AG15" s="187"/>
      <c r="AH15" s="187"/>
      <c r="AI15" s="187"/>
      <c r="AJ15" s="187"/>
      <c r="AK15" s="187"/>
      <c r="AL15" s="187"/>
      <c r="AM15" s="187"/>
      <c r="AN15" s="187"/>
      <c r="AO15" s="188"/>
      <c r="AR15" s="186"/>
      <c r="AS15" s="187"/>
      <c r="AT15" s="187"/>
      <c r="AU15" s="187"/>
      <c r="AV15" s="187"/>
      <c r="AW15" s="187"/>
      <c r="AX15" s="187"/>
      <c r="AY15" s="187"/>
      <c r="AZ15" s="187"/>
      <c r="BA15" s="187"/>
      <c r="BB15" s="187"/>
      <c r="BC15" s="187"/>
      <c r="BD15" s="187"/>
      <c r="BE15" s="187"/>
      <c r="BF15" s="188"/>
      <c r="BI15" s="186"/>
      <c r="BJ15" s="187"/>
      <c r="BK15" s="187"/>
      <c r="BL15" s="187"/>
      <c r="BM15" s="187"/>
      <c r="BN15" s="187"/>
      <c r="BO15" s="187"/>
      <c r="BP15" s="187"/>
      <c r="BQ15" s="187"/>
      <c r="BR15" s="187"/>
      <c r="BS15" s="187"/>
      <c r="BT15" s="187"/>
      <c r="BU15" s="187"/>
      <c r="BV15" s="187"/>
      <c r="BW15" s="188"/>
    </row>
    <row r="16" spans="1:75" ht="14.25" thickTop="1" thickBot="1">
      <c r="C16" s="189" t="s">
        <v>281</v>
      </c>
      <c r="D16" s="189">
        <v>2.2000000000000002</v>
      </c>
      <c r="E16" s="189">
        <v>2.2000000000000002</v>
      </c>
      <c r="F16" s="189">
        <v>2.2000000000000002</v>
      </c>
      <c r="G16" s="189">
        <v>2.2000000000000002</v>
      </c>
      <c r="H16" s="189">
        <v>2.2000000000000002</v>
      </c>
      <c r="I16" s="189">
        <v>2.2000000000000002</v>
      </c>
      <c r="J16" s="189">
        <v>2.2000000000000002</v>
      </c>
      <c r="K16" s="189">
        <v>2.2000000000000002</v>
      </c>
      <c r="L16" s="189">
        <v>2.2000000000000002</v>
      </c>
      <c r="N16" s="189" t="s">
        <v>281</v>
      </c>
      <c r="O16" s="190">
        <f>'MH Input Assumptions'!B27</f>
        <v>1.8</v>
      </c>
      <c r="P16" s="190">
        <f>'MH Input Assumptions'!B28</f>
        <v>1.575</v>
      </c>
      <c r="Q16" s="190">
        <f>'MH Input Assumptions'!B29</f>
        <v>1.35</v>
      </c>
      <c r="R16" s="190">
        <f t="shared" ref="R16:T17" si="2">O16</f>
        <v>1.8</v>
      </c>
      <c r="S16" s="190">
        <f t="shared" si="2"/>
        <v>1.575</v>
      </c>
      <c r="T16" s="190">
        <f t="shared" si="2"/>
        <v>1.35</v>
      </c>
      <c r="U16" s="190">
        <f t="shared" ref="U16:W17" si="3">O16</f>
        <v>1.8</v>
      </c>
      <c r="V16" s="190">
        <f t="shared" si="3"/>
        <v>1.575</v>
      </c>
      <c r="W16" s="190">
        <f t="shared" si="3"/>
        <v>1.35</v>
      </c>
      <c r="Z16" s="186"/>
      <c r="AA16" s="187"/>
      <c r="AB16" s="187"/>
      <c r="AC16" s="187"/>
      <c r="AD16" s="187"/>
      <c r="AE16" s="187"/>
      <c r="AF16" s="187"/>
      <c r="AG16" s="187"/>
      <c r="AH16" s="187"/>
      <c r="AI16" s="187"/>
      <c r="AJ16" s="187"/>
      <c r="AK16" s="187"/>
      <c r="AL16" s="187"/>
      <c r="AM16" s="187"/>
      <c r="AN16" s="187"/>
      <c r="AO16" s="188"/>
      <c r="AR16" s="186"/>
      <c r="AS16" s="187"/>
      <c r="AT16" s="187"/>
      <c r="AU16" s="187"/>
      <c r="AV16" s="187"/>
      <c r="AW16" s="187"/>
      <c r="AX16" s="187"/>
      <c r="AY16" s="187"/>
      <c r="AZ16" s="187"/>
      <c r="BA16" s="187"/>
      <c r="BB16" s="187"/>
      <c r="BC16" s="187"/>
      <c r="BD16" s="187"/>
      <c r="BE16" s="187"/>
      <c r="BF16" s="188"/>
      <c r="BI16" s="186"/>
      <c r="BJ16" s="187"/>
      <c r="BK16" s="187"/>
      <c r="BL16" s="187"/>
      <c r="BM16" s="187"/>
      <c r="BN16" s="187"/>
      <c r="BO16" s="187"/>
      <c r="BP16" s="187"/>
      <c r="BQ16" s="187"/>
      <c r="BR16" s="187"/>
      <c r="BS16" s="187"/>
      <c r="BT16" s="187"/>
      <c r="BU16" s="187"/>
      <c r="BV16" s="187"/>
      <c r="BW16" s="188"/>
    </row>
    <row r="17" spans="3:75" ht="14.25" thickTop="1" thickBot="1">
      <c r="C17" s="189" t="s">
        <v>282</v>
      </c>
      <c r="D17" s="192">
        <v>0.73099999999999998</v>
      </c>
      <c r="E17" s="192">
        <v>0.73099999999999998</v>
      </c>
      <c r="F17" s="192">
        <v>0.73099999999999998</v>
      </c>
      <c r="G17" s="192">
        <v>0.73099999999999998</v>
      </c>
      <c r="H17" s="192">
        <v>0.73099999999999998</v>
      </c>
      <c r="I17" s="192">
        <v>0.73099999999999998</v>
      </c>
      <c r="J17" s="192">
        <v>0.73099999999999998</v>
      </c>
      <c r="K17" s="192">
        <v>0.73099999999999998</v>
      </c>
      <c r="L17" s="192">
        <v>0.73099999999999998</v>
      </c>
      <c r="N17" s="189" t="s">
        <v>282</v>
      </c>
      <c r="O17" s="192">
        <f>'MH Input Assumptions'!F27</f>
        <v>0.755</v>
      </c>
      <c r="P17" s="192">
        <f>'MH Input Assumptions'!F28</f>
        <v>0.76850000000000007</v>
      </c>
      <c r="Q17" s="192">
        <f>'MH Input Assumptions'!F29</f>
        <v>0.78200000000000003</v>
      </c>
      <c r="R17" s="192">
        <f t="shared" si="2"/>
        <v>0.755</v>
      </c>
      <c r="S17" s="192">
        <f t="shared" si="2"/>
        <v>0.76850000000000007</v>
      </c>
      <c r="T17" s="192">
        <f t="shared" si="2"/>
        <v>0.78200000000000003</v>
      </c>
      <c r="U17" s="192">
        <f t="shared" si="3"/>
        <v>0.755</v>
      </c>
      <c r="V17" s="192">
        <f t="shared" si="3"/>
        <v>0.76850000000000007</v>
      </c>
      <c r="W17" s="192">
        <f t="shared" si="3"/>
        <v>0.78200000000000003</v>
      </c>
      <c r="Z17" s="186"/>
      <c r="AA17" s="187"/>
      <c r="AB17" s="187"/>
      <c r="AC17" s="187"/>
      <c r="AD17" s="187"/>
      <c r="AE17" s="187"/>
      <c r="AF17" s="187"/>
      <c r="AG17" s="187"/>
      <c r="AH17" s="187"/>
      <c r="AI17" s="187"/>
      <c r="AJ17" s="187"/>
      <c r="AK17" s="187"/>
      <c r="AL17" s="187"/>
      <c r="AM17" s="187"/>
      <c r="AN17" s="187"/>
      <c r="AO17" s="188"/>
      <c r="AR17" s="186"/>
      <c r="AS17" s="187"/>
      <c r="AT17" s="187"/>
      <c r="AU17" s="187"/>
      <c r="AV17" s="187"/>
      <c r="AW17" s="187"/>
      <c r="AX17" s="187"/>
      <c r="AY17" s="187"/>
      <c r="AZ17" s="187"/>
      <c r="BA17" s="187"/>
      <c r="BB17" s="187"/>
      <c r="BC17" s="187"/>
      <c r="BD17" s="187"/>
      <c r="BE17" s="187"/>
      <c r="BF17" s="188"/>
      <c r="BI17" s="186"/>
      <c r="BJ17" s="187"/>
      <c r="BK17" s="187"/>
      <c r="BL17" s="187"/>
      <c r="BM17" s="187"/>
      <c r="BN17" s="187"/>
      <c r="BO17" s="187"/>
      <c r="BP17" s="187"/>
      <c r="BQ17" s="187"/>
      <c r="BR17" s="187"/>
      <c r="BS17" s="187"/>
      <c r="BT17" s="187"/>
      <c r="BU17" s="187"/>
      <c r="BV17" s="187"/>
      <c r="BW17" s="188"/>
    </row>
    <row r="18" spans="3:75" ht="27" thickTop="1" thickBot="1">
      <c r="C18" s="189" t="s">
        <v>283</v>
      </c>
      <c r="D18" s="189">
        <v>75</v>
      </c>
      <c r="E18" s="189">
        <v>75</v>
      </c>
      <c r="F18" s="189">
        <v>75</v>
      </c>
      <c r="G18" s="189">
        <v>75</v>
      </c>
      <c r="H18" s="189">
        <v>75</v>
      </c>
      <c r="I18" s="189">
        <v>75</v>
      </c>
      <c r="J18" s="189">
        <v>75</v>
      </c>
      <c r="K18" s="189">
        <v>75</v>
      </c>
      <c r="L18" s="189">
        <v>75</v>
      </c>
      <c r="N18" s="189" t="s">
        <v>283</v>
      </c>
      <c r="O18" s="189">
        <v>75</v>
      </c>
      <c r="P18" s="189">
        <v>75</v>
      </c>
      <c r="Q18" s="189">
        <v>75</v>
      </c>
      <c r="R18" s="189">
        <v>75</v>
      </c>
      <c r="S18" s="189">
        <v>75</v>
      </c>
      <c r="T18" s="189">
        <v>75</v>
      </c>
      <c r="U18" s="189">
        <v>75</v>
      </c>
      <c r="V18" s="189">
        <v>75</v>
      </c>
      <c r="W18" s="189">
        <v>75</v>
      </c>
      <c r="Z18" s="186"/>
      <c r="AA18" s="187"/>
      <c r="AB18" s="187"/>
      <c r="AC18" s="187"/>
      <c r="AD18" s="187"/>
      <c r="AE18" s="187"/>
      <c r="AF18" s="187"/>
      <c r="AG18" s="187"/>
      <c r="AH18" s="187"/>
      <c r="AI18" s="187"/>
      <c r="AJ18" s="187"/>
      <c r="AK18" s="187"/>
      <c r="AL18" s="187"/>
      <c r="AM18" s="187"/>
      <c r="AN18" s="187"/>
      <c r="AO18" s="188"/>
      <c r="AR18" s="186"/>
      <c r="AS18" s="187"/>
      <c r="AT18" s="187"/>
      <c r="AU18" s="187"/>
      <c r="AV18" s="187"/>
      <c r="AW18" s="187"/>
      <c r="AX18" s="187"/>
      <c r="AY18" s="187"/>
      <c r="AZ18" s="187"/>
      <c r="BA18" s="187"/>
      <c r="BB18" s="187"/>
      <c r="BC18" s="187"/>
      <c r="BD18" s="187"/>
      <c r="BE18" s="187"/>
      <c r="BF18" s="188"/>
      <c r="BI18" s="186"/>
      <c r="BJ18" s="187"/>
      <c r="BK18" s="187"/>
      <c r="BL18" s="187"/>
      <c r="BM18" s="187"/>
      <c r="BN18" s="187"/>
      <c r="BO18" s="187"/>
      <c r="BP18" s="187"/>
      <c r="BQ18" s="187"/>
      <c r="BR18" s="187"/>
      <c r="BS18" s="187"/>
      <c r="BT18" s="187"/>
      <c r="BU18" s="187"/>
      <c r="BV18" s="187"/>
      <c r="BW18" s="188"/>
    </row>
    <row r="19" spans="3:75" ht="27" customHeight="1" thickTop="1" thickBot="1">
      <c r="C19" s="189" t="s">
        <v>284</v>
      </c>
      <c r="D19" s="193">
        <f>'MH Input Assumptions'!$G$26</f>
        <v>108.363</v>
      </c>
      <c r="E19" s="193">
        <f>'MH Input Assumptions'!$G$26</f>
        <v>108.363</v>
      </c>
      <c r="F19" s="193">
        <f>'MH Input Assumptions'!$G$26</f>
        <v>108.363</v>
      </c>
      <c r="G19" s="193">
        <f>'MH Input Assumptions'!$G$26</f>
        <v>108.363</v>
      </c>
      <c r="H19" s="193">
        <f>'MH Input Assumptions'!$G$26</f>
        <v>108.363</v>
      </c>
      <c r="I19" s="193">
        <f>'MH Input Assumptions'!$G$26</f>
        <v>108.363</v>
      </c>
      <c r="J19" s="193">
        <f>'MH Input Assumptions'!$G$26</f>
        <v>108.363</v>
      </c>
      <c r="K19" s="193">
        <f>'MH Input Assumptions'!$G$26</f>
        <v>108.363</v>
      </c>
      <c r="L19" s="193">
        <f>'MH Input Assumptions'!$G$26</f>
        <v>108.363</v>
      </c>
      <c r="N19" s="189" t="s">
        <v>284</v>
      </c>
      <c r="O19" s="193">
        <f>'MH Input Assumptions'!$G$27</f>
        <v>110.11499999999999</v>
      </c>
      <c r="P19" s="193">
        <f>'MH Input Assumptions'!$G$28</f>
        <v>111.10050000000001</v>
      </c>
      <c r="Q19" s="193">
        <f>'MH Input Assumptions'!$G$29</f>
        <v>112.086</v>
      </c>
      <c r="R19" s="193">
        <f>O19</f>
        <v>110.11499999999999</v>
      </c>
      <c r="S19" s="193">
        <f>P19</f>
        <v>111.10050000000001</v>
      </c>
      <c r="T19" s="193">
        <f>Q19</f>
        <v>112.086</v>
      </c>
      <c r="U19" s="193">
        <f>O19</f>
        <v>110.11499999999999</v>
      </c>
      <c r="V19" s="193">
        <f>P19</f>
        <v>111.10050000000001</v>
      </c>
      <c r="W19" s="193">
        <f>Q19</f>
        <v>112.086</v>
      </c>
      <c r="Z19" s="186"/>
      <c r="AA19" s="187"/>
      <c r="AB19" s="187"/>
      <c r="AC19" s="187"/>
      <c r="AD19" s="187"/>
      <c r="AE19" s="187"/>
      <c r="AF19" s="187"/>
      <c r="AG19" s="187"/>
      <c r="AH19" s="187"/>
      <c r="AI19" s="187"/>
      <c r="AJ19" s="187"/>
      <c r="AK19" s="187"/>
      <c r="AL19" s="187"/>
      <c r="AM19" s="187"/>
      <c r="AN19" s="187"/>
      <c r="AO19" s="188"/>
      <c r="AR19" s="186"/>
      <c r="AS19" s="187"/>
      <c r="AT19" s="187"/>
      <c r="AU19" s="187"/>
      <c r="AV19" s="187"/>
      <c r="AW19" s="187"/>
      <c r="AX19" s="187"/>
      <c r="AY19" s="187"/>
      <c r="AZ19" s="187"/>
      <c r="BA19" s="187"/>
      <c r="BB19" s="187"/>
      <c r="BC19" s="187"/>
      <c r="BD19" s="187"/>
      <c r="BE19" s="187"/>
      <c r="BF19" s="188"/>
      <c r="BI19" s="186"/>
      <c r="BJ19" s="187"/>
      <c r="BK19" s="187"/>
      <c r="BL19" s="187"/>
      <c r="BM19" s="187"/>
      <c r="BN19" s="187"/>
      <c r="BO19" s="187"/>
      <c r="BP19" s="187"/>
      <c r="BQ19" s="187"/>
      <c r="BR19" s="187"/>
      <c r="BS19" s="187"/>
      <c r="BT19" s="187"/>
      <c r="BU19" s="187"/>
      <c r="BV19" s="187"/>
      <c r="BW19" s="188"/>
    </row>
    <row r="20" spans="3:75" ht="27" thickTop="1" thickBot="1">
      <c r="C20" s="189" t="s">
        <v>285</v>
      </c>
      <c r="D20" s="194">
        <f>'MH Input Assumptions'!$D$15/'MH Input Assumptions'!$D$12</f>
        <v>2.4934897959183674E-3</v>
      </c>
      <c r="E20" s="194">
        <f>'MH Input Assumptions'!$D$15/'MH Input Assumptions'!$D$12</f>
        <v>2.4934897959183674E-3</v>
      </c>
      <c r="F20" s="194">
        <f>'MH Input Assumptions'!$D$15/'MH Input Assumptions'!$D$12</f>
        <v>2.4934897959183674E-3</v>
      </c>
      <c r="G20" s="194">
        <f>'MH Input Assumptions'!$D$15/'MH Input Assumptions'!$D$12</f>
        <v>2.4934897959183674E-3</v>
      </c>
      <c r="H20" s="194">
        <f>'MH Input Assumptions'!$D$15/'MH Input Assumptions'!$D$12</f>
        <v>2.4934897959183674E-3</v>
      </c>
      <c r="I20" s="194">
        <f>'MH Input Assumptions'!$D$15/'MH Input Assumptions'!$D$12</f>
        <v>2.4934897959183674E-3</v>
      </c>
      <c r="J20" s="194">
        <f>'MH Input Assumptions'!$D$15/'MH Input Assumptions'!$D$12</f>
        <v>2.4934897959183674E-3</v>
      </c>
      <c r="K20" s="194">
        <f>'MH Input Assumptions'!$D$15/'MH Input Assumptions'!$D$12</f>
        <v>2.4934897959183674E-3</v>
      </c>
      <c r="L20" s="194">
        <f>'MH Input Assumptions'!$D$15/'MH Input Assumptions'!$D$12</f>
        <v>2.4934897959183674E-3</v>
      </c>
      <c r="N20" s="189" t="s">
        <v>285</v>
      </c>
      <c r="O20" s="194">
        <f t="shared" ref="O20:W21" si="4">D20</f>
        <v>2.4934897959183674E-3</v>
      </c>
      <c r="P20" s="194">
        <f t="shared" si="4"/>
        <v>2.4934897959183674E-3</v>
      </c>
      <c r="Q20" s="194">
        <f t="shared" si="4"/>
        <v>2.4934897959183674E-3</v>
      </c>
      <c r="R20" s="194">
        <f t="shared" si="4"/>
        <v>2.4934897959183674E-3</v>
      </c>
      <c r="S20" s="194">
        <f t="shared" si="4"/>
        <v>2.4934897959183674E-3</v>
      </c>
      <c r="T20" s="194">
        <f t="shared" si="4"/>
        <v>2.4934897959183674E-3</v>
      </c>
      <c r="U20" s="194">
        <f t="shared" si="4"/>
        <v>2.4934897959183674E-3</v>
      </c>
      <c r="V20" s="194">
        <f t="shared" si="4"/>
        <v>2.4934897959183674E-3</v>
      </c>
      <c r="W20" s="194">
        <f t="shared" si="4"/>
        <v>2.4934897959183674E-3</v>
      </c>
      <c r="Z20" s="186"/>
      <c r="AA20" s="187"/>
      <c r="AB20" s="187"/>
      <c r="AC20" s="187"/>
      <c r="AD20" s="187"/>
      <c r="AE20" s="187"/>
      <c r="AF20" s="187"/>
      <c r="AG20" s="187"/>
      <c r="AH20" s="187"/>
      <c r="AI20" s="187"/>
      <c r="AJ20" s="187"/>
      <c r="AK20" s="187"/>
      <c r="AL20" s="187"/>
      <c r="AM20" s="187"/>
      <c r="AN20" s="187"/>
      <c r="AO20" s="188"/>
      <c r="AR20" s="186"/>
      <c r="AS20" s="187"/>
      <c r="AT20" s="187"/>
      <c r="AU20" s="187"/>
      <c r="AV20" s="187"/>
      <c r="AW20" s="187"/>
      <c r="AX20" s="187"/>
      <c r="AY20" s="187"/>
      <c r="AZ20" s="187"/>
      <c r="BA20" s="187"/>
      <c r="BB20" s="187"/>
      <c r="BC20" s="187"/>
      <c r="BD20" s="187"/>
      <c r="BE20" s="187"/>
      <c r="BF20" s="188"/>
      <c r="BI20" s="186"/>
      <c r="BJ20" s="187"/>
      <c r="BK20" s="187"/>
      <c r="BL20" s="187"/>
      <c r="BM20" s="187"/>
      <c r="BN20" s="187"/>
      <c r="BO20" s="187"/>
      <c r="BP20" s="187"/>
      <c r="BQ20" s="187"/>
      <c r="BR20" s="187"/>
      <c r="BS20" s="187"/>
      <c r="BT20" s="187"/>
      <c r="BU20" s="187"/>
      <c r="BV20" s="187"/>
      <c r="BW20" s="188"/>
    </row>
    <row r="21" spans="3:75" ht="27" thickTop="1" thickBot="1">
      <c r="C21" s="189" t="s">
        <v>286</v>
      </c>
      <c r="D21" s="189">
        <f>'MH Input Assumptions'!$D$17/'MH Input Assumptions'!$D$13</f>
        <v>1.1119999999999999E-4</v>
      </c>
      <c r="E21" s="189">
        <f>'MH Input Assumptions'!$D$17/'MH Input Assumptions'!$D$13</f>
        <v>1.1119999999999999E-4</v>
      </c>
      <c r="F21" s="189">
        <f>'MH Input Assumptions'!$D$17/'MH Input Assumptions'!$D$13</f>
        <v>1.1119999999999999E-4</v>
      </c>
      <c r="G21" s="189">
        <f>'MH Input Assumptions'!$D$17/'MH Input Assumptions'!$D$13</f>
        <v>1.1119999999999999E-4</v>
      </c>
      <c r="H21" s="189">
        <f>'MH Input Assumptions'!$D$17/'MH Input Assumptions'!$D$13</f>
        <v>1.1119999999999999E-4</v>
      </c>
      <c r="I21" s="189">
        <f>'MH Input Assumptions'!$D$17/'MH Input Assumptions'!$D$13</f>
        <v>1.1119999999999999E-4</v>
      </c>
      <c r="J21" s="189">
        <f>'MH Input Assumptions'!$D$17/'MH Input Assumptions'!$D$13</f>
        <v>1.1119999999999999E-4</v>
      </c>
      <c r="K21" s="189">
        <f>'MH Input Assumptions'!$D$17/'MH Input Assumptions'!$D$13</f>
        <v>1.1119999999999999E-4</v>
      </c>
      <c r="L21" s="189">
        <f>'MH Input Assumptions'!$D$17/'MH Input Assumptions'!$D$13</f>
        <v>1.1119999999999999E-4</v>
      </c>
      <c r="N21" s="189" t="s">
        <v>286</v>
      </c>
      <c r="O21" s="194">
        <f t="shared" si="4"/>
        <v>1.1119999999999999E-4</v>
      </c>
      <c r="P21" s="194">
        <f t="shared" si="4"/>
        <v>1.1119999999999999E-4</v>
      </c>
      <c r="Q21" s="194">
        <f t="shared" si="4"/>
        <v>1.1119999999999999E-4</v>
      </c>
      <c r="R21" s="194">
        <f t="shared" si="4"/>
        <v>1.1119999999999999E-4</v>
      </c>
      <c r="S21" s="194">
        <f t="shared" si="4"/>
        <v>1.1119999999999999E-4</v>
      </c>
      <c r="T21" s="194">
        <f t="shared" si="4"/>
        <v>1.1119999999999999E-4</v>
      </c>
      <c r="U21" s="194">
        <f t="shared" si="4"/>
        <v>1.1119999999999999E-4</v>
      </c>
      <c r="V21" s="194">
        <f t="shared" si="4"/>
        <v>1.1119999999999999E-4</v>
      </c>
      <c r="W21" s="194">
        <f t="shared" si="4"/>
        <v>1.1119999999999999E-4</v>
      </c>
      <c r="Z21" s="186"/>
      <c r="AA21" s="187"/>
      <c r="AB21" s="187"/>
      <c r="AC21" s="187"/>
      <c r="AD21" s="187"/>
      <c r="AE21" s="187"/>
      <c r="AF21" s="187"/>
      <c r="AG21" s="187"/>
      <c r="AH21" s="187"/>
      <c r="AI21" s="187"/>
      <c r="AJ21" s="187"/>
      <c r="AK21" s="187"/>
      <c r="AL21" s="187"/>
      <c r="AM21" s="187"/>
      <c r="AN21" s="187"/>
      <c r="AO21" s="188"/>
      <c r="AR21" s="186"/>
      <c r="AS21" s="187"/>
      <c r="AT21" s="187"/>
      <c r="AU21" s="187"/>
      <c r="AV21" s="187"/>
      <c r="AW21" s="187"/>
      <c r="AX21" s="187"/>
      <c r="AY21" s="187"/>
      <c r="AZ21" s="187"/>
      <c r="BA21" s="187"/>
      <c r="BB21" s="187"/>
      <c r="BC21" s="187"/>
      <c r="BD21" s="187"/>
      <c r="BE21" s="187"/>
      <c r="BF21" s="188"/>
      <c r="BI21" s="186"/>
      <c r="BJ21" s="187"/>
      <c r="BK21" s="187"/>
      <c r="BL21" s="187"/>
      <c r="BM21" s="187"/>
      <c r="BN21" s="187"/>
      <c r="BO21" s="187"/>
      <c r="BP21" s="187"/>
      <c r="BQ21" s="187"/>
      <c r="BR21" s="187"/>
      <c r="BS21" s="187"/>
      <c r="BT21" s="187"/>
      <c r="BU21" s="187"/>
      <c r="BV21" s="187"/>
      <c r="BW21" s="188"/>
    </row>
    <row r="22" spans="3:75" ht="14.25" thickTop="1" thickBot="1">
      <c r="C22" s="189" t="s">
        <v>287</v>
      </c>
      <c r="D22" s="191">
        <f>D11*D12*D13*D16*D14</f>
        <v>8333.8024000000005</v>
      </c>
      <c r="E22" s="191">
        <f t="shared" ref="E22:L22" si="5">E11*E12*E13*E16*E14</f>
        <v>8333.8024000000005</v>
      </c>
      <c r="F22" s="191">
        <f t="shared" si="5"/>
        <v>8333.8024000000005</v>
      </c>
      <c r="G22" s="191">
        <f t="shared" si="5"/>
        <v>4242.6630400000004</v>
      </c>
      <c r="H22" s="191">
        <f t="shared" si="5"/>
        <v>4242.6630400000004</v>
      </c>
      <c r="I22" s="191">
        <f t="shared" si="5"/>
        <v>4242.6630400000004</v>
      </c>
      <c r="J22" s="191">
        <f t="shared" si="5"/>
        <v>6970.0892800000001</v>
      </c>
      <c r="K22" s="191">
        <f t="shared" si="5"/>
        <v>6970.0892800000001</v>
      </c>
      <c r="L22" s="191">
        <f t="shared" si="5"/>
        <v>6970.0892800000001</v>
      </c>
      <c r="N22" s="189" t="s">
        <v>287</v>
      </c>
      <c r="O22" s="191">
        <f t="shared" ref="O22:W22" si="6">O11*O12*O13*O16*O14</f>
        <v>6818.5655999999999</v>
      </c>
      <c r="P22" s="191">
        <f t="shared" si="6"/>
        <v>5966.2448999999997</v>
      </c>
      <c r="Q22" s="191">
        <f t="shared" si="6"/>
        <v>5113.9242000000004</v>
      </c>
      <c r="R22" s="191">
        <f t="shared" si="6"/>
        <v>3471.2697600000006</v>
      </c>
      <c r="S22" s="191">
        <f t="shared" si="6"/>
        <v>3037.3610399999998</v>
      </c>
      <c r="T22" s="191">
        <f t="shared" si="6"/>
        <v>2603.4523200000003</v>
      </c>
      <c r="U22" s="191">
        <f t="shared" si="6"/>
        <v>5702.8003199999994</v>
      </c>
      <c r="V22" s="191">
        <f t="shared" si="6"/>
        <v>4989.9502799999991</v>
      </c>
      <c r="W22" s="191">
        <f t="shared" si="6"/>
        <v>4277.1002399999998</v>
      </c>
      <c r="Z22" s="186"/>
      <c r="AA22" s="187"/>
      <c r="AB22" s="187"/>
      <c r="AC22" s="187"/>
      <c r="AD22" s="187"/>
      <c r="AE22" s="187"/>
      <c r="AF22" s="187"/>
      <c r="AG22" s="187"/>
      <c r="AH22" s="187"/>
      <c r="AI22" s="187"/>
      <c r="AJ22" s="187"/>
      <c r="AK22" s="187"/>
      <c r="AL22" s="187"/>
      <c r="AM22" s="187"/>
      <c r="AN22" s="187"/>
      <c r="AO22" s="188"/>
      <c r="AR22" s="186"/>
      <c r="AS22" s="187"/>
      <c r="AT22" s="187"/>
      <c r="AU22" s="187"/>
      <c r="AV22" s="187"/>
      <c r="AW22" s="187"/>
      <c r="AX22" s="187"/>
      <c r="AY22" s="187"/>
      <c r="AZ22" s="187"/>
      <c r="BA22" s="187"/>
      <c r="BB22" s="187"/>
      <c r="BC22" s="187"/>
      <c r="BD22" s="187"/>
      <c r="BE22" s="187"/>
      <c r="BF22" s="188"/>
      <c r="BI22" s="186"/>
      <c r="BJ22" s="187"/>
      <c r="BK22" s="187"/>
      <c r="BL22" s="187"/>
      <c r="BM22" s="187"/>
      <c r="BN22" s="187"/>
      <c r="BO22" s="187"/>
      <c r="BP22" s="187"/>
      <c r="BQ22" s="187"/>
      <c r="BR22" s="187"/>
      <c r="BS22" s="187"/>
      <c r="BT22" s="187"/>
      <c r="BU22" s="187"/>
      <c r="BV22" s="187"/>
      <c r="BW22" s="188"/>
    </row>
    <row r="23" spans="3:75" ht="14.25" thickTop="1" thickBot="1">
      <c r="C23" s="195" t="s">
        <v>288</v>
      </c>
      <c r="D23" s="196">
        <f>D22*'MH Input Assumptions'!$E$43/1000</f>
        <v>127.757190792</v>
      </c>
      <c r="E23" s="196">
        <f>E22*'MH Input Assumptions'!$E$43/1000</f>
        <v>127.757190792</v>
      </c>
      <c r="F23" s="196">
        <f>F22*'MH Input Assumptions'!$E$43/1000</f>
        <v>127.757190792</v>
      </c>
      <c r="G23" s="196">
        <f>G22*'MH Input Assumptions'!$E$43/1000</f>
        <v>65.040024403200007</v>
      </c>
      <c r="H23" s="196">
        <f>H22*'MH Input Assumptions'!$E$43/1000</f>
        <v>65.040024403200007</v>
      </c>
      <c r="I23" s="196">
        <f>I22*'MH Input Assumptions'!$E$43/1000</f>
        <v>65.040024403200007</v>
      </c>
      <c r="J23" s="196">
        <f>J22*'MH Input Assumptions'!$E$43/1000</f>
        <v>106.85146866240001</v>
      </c>
      <c r="K23" s="196">
        <f>K22*'MH Input Assumptions'!$E$43/1000</f>
        <v>106.85146866240001</v>
      </c>
      <c r="L23" s="196">
        <f>L22*'MH Input Assumptions'!$E$43/1000</f>
        <v>106.85146866240001</v>
      </c>
      <c r="N23" s="195" t="s">
        <v>288</v>
      </c>
      <c r="O23" s="196">
        <f>O22*'MH Input Assumptions'!$E$43/1000</f>
        <v>104.528610648</v>
      </c>
      <c r="P23" s="196">
        <f>P22*'MH Input Assumptions'!$E$43/1000</f>
        <v>91.462534316999992</v>
      </c>
      <c r="Q23" s="196">
        <f>Q22*'MH Input Assumptions'!$E$43/1000</f>
        <v>78.396457986000001</v>
      </c>
      <c r="R23" s="196">
        <f>R22*'MH Input Assumptions'!$E$43/1000</f>
        <v>53.214565420800014</v>
      </c>
      <c r="S23" s="196">
        <f>S22*'MH Input Assumptions'!$E$43/1000</f>
        <v>46.5627447432</v>
      </c>
      <c r="T23" s="196">
        <f>T22*'MH Input Assumptions'!$E$43/1000</f>
        <v>39.910924065600007</v>
      </c>
      <c r="U23" s="196">
        <f>U22*'MH Input Assumptions'!$E$43/1000</f>
        <v>87.423928905599993</v>
      </c>
      <c r="V23" s="196">
        <f>V22*'MH Input Assumptions'!$E$43/1000</f>
        <v>76.495937792399985</v>
      </c>
      <c r="W23" s="196">
        <f>W22*'MH Input Assumptions'!$E$43/1000</f>
        <v>65.567946679200006</v>
      </c>
      <c r="Z23" s="186"/>
      <c r="AA23" s="187"/>
      <c r="AB23" s="187"/>
      <c r="AC23" s="187"/>
      <c r="AD23" s="187"/>
      <c r="AE23" s="187"/>
      <c r="AF23" s="187"/>
      <c r="AG23" s="187"/>
      <c r="AH23" s="187"/>
      <c r="AI23" s="187"/>
      <c r="AJ23" s="187"/>
      <c r="AK23" s="187"/>
      <c r="AL23" s="187"/>
      <c r="AM23" s="187"/>
      <c r="AN23" s="187"/>
      <c r="AO23" s="188"/>
      <c r="AR23" s="186"/>
      <c r="AS23" s="187"/>
      <c r="AT23" s="187"/>
      <c r="AU23" s="187"/>
      <c r="AV23" s="187"/>
      <c r="AW23" s="187"/>
      <c r="AX23" s="187"/>
      <c r="AY23" s="187"/>
      <c r="AZ23" s="187"/>
      <c r="BA23" s="187"/>
      <c r="BB23" s="187"/>
      <c r="BC23" s="187"/>
      <c r="BD23" s="187"/>
      <c r="BE23" s="187"/>
      <c r="BF23" s="188"/>
      <c r="BI23" s="186"/>
      <c r="BJ23" s="187"/>
      <c r="BK23" s="187"/>
      <c r="BL23" s="187"/>
      <c r="BM23" s="187"/>
      <c r="BN23" s="187"/>
      <c r="BO23" s="187"/>
      <c r="BP23" s="187"/>
      <c r="BQ23" s="187"/>
      <c r="BR23" s="187"/>
      <c r="BS23" s="187"/>
      <c r="BT23" s="187"/>
      <c r="BU23" s="187"/>
      <c r="BV23" s="187"/>
      <c r="BW23" s="188"/>
    </row>
    <row r="24" spans="3:75" ht="27" customHeight="1" thickTop="1" thickBot="1">
      <c r="C24" s="195" t="s">
        <v>289</v>
      </c>
      <c r="D24" s="197">
        <f>D22*'MH Input Assumptions'!$C$47/1000</f>
        <v>30.702931772476603</v>
      </c>
      <c r="E24" s="197">
        <f>E22*'MH Input Assumptions'!$C$47/1000</f>
        <v>30.702931772476603</v>
      </c>
      <c r="F24" s="197">
        <f>F22*'MH Input Assumptions'!$C$47/1000</f>
        <v>30.702931772476603</v>
      </c>
      <c r="G24" s="197">
        <f>G22*'MH Input Assumptions'!$C$47/1000</f>
        <v>15.630583447806272</v>
      </c>
      <c r="H24" s="197">
        <f>H22*'MH Input Assumptions'!$C$47/1000</f>
        <v>15.630583447806272</v>
      </c>
      <c r="I24" s="197">
        <f>I22*'MH Input Assumptions'!$C$47/1000</f>
        <v>15.630583447806272</v>
      </c>
      <c r="J24" s="197">
        <f>J22*'MH Input Assumptions'!$C$47/1000</f>
        <v>25.678815664253161</v>
      </c>
      <c r="K24" s="197">
        <f>K22*'MH Input Assumptions'!$C$47/1000</f>
        <v>25.678815664253161</v>
      </c>
      <c r="L24" s="197">
        <f>L22*'MH Input Assumptions'!$C$47/1000</f>
        <v>25.678815664253161</v>
      </c>
      <c r="N24" s="195" t="s">
        <v>289</v>
      </c>
      <c r="O24" s="197">
        <f>O22*'MH Input Assumptions'!$C$47/1000</f>
        <v>25.120580541117221</v>
      </c>
      <c r="P24" s="197">
        <f>P22*'MH Input Assumptions'!$C$47/1000</f>
        <v>21.980507973477568</v>
      </c>
      <c r="Q24" s="197">
        <f>Q22*'MH Input Assumptions'!$C$47/1000</f>
        <v>18.840435405837919</v>
      </c>
      <c r="R24" s="197">
        <f>R22*'MH Input Assumptions'!$C$47/1000</f>
        <v>12.788659184568768</v>
      </c>
      <c r="S24" s="197">
        <f>S22*'MH Input Assumptions'!$C$47/1000</f>
        <v>11.19007678649767</v>
      </c>
      <c r="T24" s="197">
        <f>T22*'MH Input Assumptions'!$C$47/1000</f>
        <v>9.5914943884265753</v>
      </c>
      <c r="U24" s="197">
        <f>U22*'MH Input Assumptions'!$C$47/1000</f>
        <v>21.0099400889344</v>
      </c>
      <c r="V24" s="197">
        <f>V22*'MH Input Assumptions'!$C$47/1000</f>
        <v>18.3836975778176</v>
      </c>
      <c r="W24" s="197">
        <f>W22*'MH Input Assumptions'!$C$47/1000</f>
        <v>15.757455066700802</v>
      </c>
      <c r="Z24" s="186"/>
      <c r="AA24" s="187"/>
      <c r="AB24" s="187"/>
      <c r="AC24" s="187"/>
      <c r="AD24" s="187"/>
      <c r="AE24" s="187"/>
      <c r="AF24" s="187"/>
      <c r="AG24" s="187"/>
      <c r="AH24" s="187"/>
      <c r="AI24" s="187"/>
      <c r="AJ24" s="187"/>
      <c r="AK24" s="187"/>
      <c r="AL24" s="187"/>
      <c r="AM24" s="187"/>
      <c r="AN24" s="187"/>
      <c r="AO24" s="188"/>
      <c r="AR24" s="186"/>
      <c r="AS24" s="187"/>
      <c r="AT24" s="187"/>
      <c r="AU24" s="187"/>
      <c r="AV24" s="187"/>
      <c r="AW24" s="187"/>
      <c r="AX24" s="187"/>
      <c r="AY24" s="187"/>
      <c r="AZ24" s="187"/>
      <c r="BA24" s="187"/>
      <c r="BB24" s="187"/>
      <c r="BC24" s="187"/>
      <c r="BD24" s="187"/>
      <c r="BE24" s="187"/>
      <c r="BF24" s="188"/>
      <c r="BI24" s="186"/>
      <c r="BJ24" s="187"/>
      <c r="BK24" s="187"/>
      <c r="BL24" s="187"/>
      <c r="BM24" s="187"/>
      <c r="BN24" s="187"/>
      <c r="BO24" s="187"/>
      <c r="BP24" s="187"/>
      <c r="BQ24" s="187"/>
      <c r="BR24" s="187"/>
      <c r="BS24" s="187"/>
      <c r="BT24" s="187"/>
      <c r="BU24" s="187"/>
      <c r="BV24" s="187"/>
      <c r="BW24" s="188"/>
    </row>
    <row r="25" spans="3:75" ht="14.25" thickTop="1" thickBot="1">
      <c r="C25" s="189" t="s">
        <v>290</v>
      </c>
      <c r="D25" s="191">
        <f t="shared" ref="D25:L25" si="7">D22*D17</f>
        <v>6092.0095544000005</v>
      </c>
      <c r="E25" s="191">
        <f t="shared" si="7"/>
        <v>6092.0095544000005</v>
      </c>
      <c r="F25" s="191">
        <f t="shared" si="7"/>
        <v>6092.0095544000005</v>
      </c>
      <c r="G25" s="191">
        <f t="shared" si="7"/>
        <v>3101.38668224</v>
      </c>
      <c r="H25" s="191">
        <f t="shared" si="7"/>
        <v>3101.38668224</v>
      </c>
      <c r="I25" s="191">
        <f t="shared" si="7"/>
        <v>3101.38668224</v>
      </c>
      <c r="J25" s="191">
        <f t="shared" si="7"/>
        <v>5095.1352636800002</v>
      </c>
      <c r="K25" s="191">
        <f t="shared" si="7"/>
        <v>5095.1352636800002</v>
      </c>
      <c r="L25" s="191">
        <f t="shared" si="7"/>
        <v>5095.1352636800002</v>
      </c>
      <c r="N25" s="189" t="s">
        <v>290</v>
      </c>
      <c r="O25" s="191">
        <f t="shared" ref="O25:W25" si="8">O22*O17</f>
        <v>5148.0170280000002</v>
      </c>
      <c r="P25" s="191">
        <f t="shared" si="8"/>
        <v>4585.05920565</v>
      </c>
      <c r="Q25" s="191">
        <f t="shared" si="8"/>
        <v>3999.0887244000005</v>
      </c>
      <c r="R25" s="191">
        <f t="shared" si="8"/>
        <v>2620.8086688000003</v>
      </c>
      <c r="S25" s="191">
        <f t="shared" si="8"/>
        <v>2334.2119592399999</v>
      </c>
      <c r="T25" s="191">
        <f t="shared" si="8"/>
        <v>2035.8997142400003</v>
      </c>
      <c r="U25" s="191">
        <f t="shared" si="8"/>
        <v>4305.6142415999993</v>
      </c>
      <c r="V25" s="191">
        <f t="shared" si="8"/>
        <v>3834.7767901799998</v>
      </c>
      <c r="W25" s="191">
        <f t="shared" si="8"/>
        <v>3344.6923876800001</v>
      </c>
      <c r="Z25" s="186"/>
      <c r="AA25" s="187"/>
      <c r="AB25" s="198"/>
      <c r="AC25" s="187"/>
      <c r="AD25" s="187"/>
      <c r="AE25" s="187"/>
      <c r="AF25" s="187"/>
      <c r="AG25" s="187"/>
      <c r="AH25" s="187"/>
      <c r="AI25" s="187"/>
      <c r="AJ25" s="187"/>
      <c r="AK25" s="187"/>
      <c r="AL25" s="187"/>
      <c r="AM25" s="187"/>
      <c r="AN25" s="187"/>
      <c r="AO25" s="188"/>
      <c r="AR25" s="186"/>
      <c r="AS25" s="187"/>
      <c r="AT25" s="187"/>
      <c r="AU25" s="187"/>
      <c r="AV25" s="187"/>
      <c r="AW25" s="187"/>
      <c r="AX25" s="187"/>
      <c r="AY25" s="187"/>
      <c r="AZ25" s="187"/>
      <c r="BA25" s="187"/>
      <c r="BB25" s="187"/>
      <c r="BC25" s="187"/>
      <c r="BD25" s="187"/>
      <c r="BE25" s="187"/>
      <c r="BF25" s="188"/>
      <c r="BI25" s="186"/>
      <c r="BJ25" s="187"/>
      <c r="BK25" s="187"/>
      <c r="BL25" s="187"/>
      <c r="BM25" s="187"/>
      <c r="BN25" s="187"/>
      <c r="BO25" s="187"/>
      <c r="BP25" s="187"/>
      <c r="BQ25" s="187"/>
      <c r="BR25" s="187"/>
      <c r="BS25" s="187"/>
      <c r="BT25" s="187"/>
      <c r="BU25" s="187"/>
      <c r="BV25" s="187"/>
      <c r="BW25" s="188"/>
    </row>
    <row r="26" spans="3:75" ht="14.25" thickTop="1" thickBot="1">
      <c r="C26" s="189" t="s">
        <v>291</v>
      </c>
      <c r="D26" s="191">
        <f t="shared" ref="D26:L26" si="9">D25*D18</f>
        <v>456900.71658000007</v>
      </c>
      <c r="E26" s="191">
        <f t="shared" si="9"/>
        <v>456900.71658000007</v>
      </c>
      <c r="F26" s="191">
        <f t="shared" si="9"/>
        <v>456900.71658000007</v>
      </c>
      <c r="G26" s="191">
        <f t="shared" si="9"/>
        <v>232604.00116799999</v>
      </c>
      <c r="H26" s="191">
        <f t="shared" si="9"/>
        <v>232604.00116799999</v>
      </c>
      <c r="I26" s="191">
        <f t="shared" si="9"/>
        <v>232604.00116799999</v>
      </c>
      <c r="J26" s="191">
        <f t="shared" si="9"/>
        <v>382135.144776</v>
      </c>
      <c r="K26" s="191">
        <f t="shared" si="9"/>
        <v>382135.144776</v>
      </c>
      <c r="L26" s="191">
        <f t="shared" si="9"/>
        <v>382135.144776</v>
      </c>
      <c r="N26" s="189" t="s">
        <v>291</v>
      </c>
      <c r="O26" s="191">
        <f t="shared" ref="O26:W26" si="10">O25*O18</f>
        <v>386101.27710000001</v>
      </c>
      <c r="P26" s="191">
        <f t="shared" si="10"/>
        <v>343879.44042374997</v>
      </c>
      <c r="Q26" s="191">
        <f t="shared" si="10"/>
        <v>299931.65433000005</v>
      </c>
      <c r="R26" s="191">
        <f t="shared" si="10"/>
        <v>196560.65016000002</v>
      </c>
      <c r="S26" s="191">
        <f t="shared" si="10"/>
        <v>175065.896943</v>
      </c>
      <c r="T26" s="191">
        <f t="shared" si="10"/>
        <v>152692.47856800002</v>
      </c>
      <c r="U26" s="191">
        <f t="shared" si="10"/>
        <v>322921.06811999995</v>
      </c>
      <c r="V26" s="191">
        <f t="shared" si="10"/>
        <v>287608.25926349999</v>
      </c>
      <c r="W26" s="191">
        <f t="shared" si="10"/>
        <v>250851.929076</v>
      </c>
      <c r="Z26" s="186"/>
      <c r="AA26" s="187"/>
      <c r="AB26" s="187"/>
      <c r="AC26" s="187"/>
      <c r="AD26" s="187"/>
      <c r="AE26" s="187"/>
      <c r="AF26" s="187"/>
      <c r="AG26" s="187"/>
      <c r="AH26" s="187"/>
      <c r="AI26" s="187"/>
      <c r="AJ26" s="187"/>
      <c r="AK26" s="187"/>
      <c r="AL26" s="187"/>
      <c r="AM26" s="187"/>
      <c r="AN26" s="187"/>
      <c r="AO26" s="188"/>
      <c r="AR26" s="186"/>
      <c r="AS26" s="187"/>
      <c r="AT26" s="187"/>
      <c r="AU26" s="187"/>
      <c r="AV26" s="187"/>
      <c r="AW26" s="187"/>
      <c r="AX26" s="187"/>
      <c r="AY26" s="187"/>
      <c r="AZ26" s="187"/>
      <c r="BA26" s="187"/>
      <c r="BB26" s="187"/>
      <c r="BC26" s="187"/>
      <c r="BD26" s="187"/>
      <c r="BE26" s="187"/>
      <c r="BF26" s="188"/>
      <c r="BI26" s="186"/>
      <c r="BJ26" s="187"/>
      <c r="BK26" s="187"/>
      <c r="BL26" s="187"/>
      <c r="BM26" s="187"/>
      <c r="BN26" s="187"/>
      <c r="BO26" s="187"/>
      <c r="BP26" s="187"/>
      <c r="BQ26" s="187"/>
      <c r="BR26" s="187"/>
      <c r="BS26" s="187"/>
      <c r="BT26" s="187"/>
      <c r="BU26" s="187"/>
      <c r="BV26" s="187"/>
      <c r="BW26" s="188"/>
    </row>
    <row r="27" spans="3:75" ht="16.5" thickTop="1" thickBot="1">
      <c r="C27" s="199" t="s">
        <v>292</v>
      </c>
      <c r="D27" s="200"/>
      <c r="E27" s="200"/>
      <c r="F27" s="200"/>
      <c r="G27" s="200"/>
      <c r="H27" s="200"/>
      <c r="I27" s="200"/>
      <c r="J27" s="200"/>
      <c r="K27" s="200"/>
      <c r="L27" s="200"/>
      <c r="N27" s="199" t="s">
        <v>292</v>
      </c>
      <c r="O27" s="200"/>
      <c r="P27" s="200"/>
      <c r="Q27" s="200"/>
      <c r="R27" s="200"/>
      <c r="S27" s="200"/>
      <c r="T27" s="200"/>
      <c r="U27" s="200"/>
      <c r="V27" s="200"/>
      <c r="W27" s="200"/>
      <c r="Z27" s="186"/>
      <c r="AA27" s="187"/>
      <c r="AB27" s="343" t="s">
        <v>293</v>
      </c>
      <c r="AC27" s="346"/>
      <c r="AD27" s="346"/>
      <c r="AE27" s="346"/>
      <c r="AF27" s="346"/>
      <c r="AG27" s="346"/>
      <c r="AH27" s="346"/>
      <c r="AI27" s="346"/>
      <c r="AJ27" s="346"/>
      <c r="AK27" s="346"/>
      <c r="AL27" s="346"/>
      <c r="AM27" s="346"/>
      <c r="AN27" s="187"/>
      <c r="AO27" s="188"/>
      <c r="AR27" s="186"/>
      <c r="AS27" s="187"/>
      <c r="AT27" s="187"/>
      <c r="AU27" s="187"/>
      <c r="AV27" s="187"/>
      <c r="AW27" s="187"/>
      <c r="AX27" s="187"/>
      <c r="AY27" s="187"/>
      <c r="AZ27" s="187"/>
      <c r="BA27" s="187"/>
      <c r="BB27" s="187"/>
      <c r="BC27" s="187"/>
      <c r="BD27" s="187"/>
      <c r="BE27" s="187"/>
      <c r="BF27" s="188"/>
      <c r="BI27" s="186"/>
      <c r="BJ27" s="187"/>
      <c r="BK27" s="187"/>
      <c r="BL27" s="187"/>
      <c r="BM27" s="187"/>
      <c r="BN27" s="187"/>
      <c r="BO27" s="187"/>
      <c r="BP27" s="187"/>
      <c r="BQ27" s="187"/>
      <c r="BR27" s="187"/>
      <c r="BS27" s="187"/>
      <c r="BT27" s="187"/>
      <c r="BU27" s="187"/>
      <c r="BV27" s="187"/>
      <c r="BW27" s="188"/>
    </row>
    <row r="28" spans="3:75" ht="14.25" thickTop="1" thickBot="1">
      <c r="C28" s="189" t="s">
        <v>294</v>
      </c>
      <c r="D28" s="191">
        <f>D20*D26</f>
        <v>1139.2772745400202</v>
      </c>
      <c r="E28" s="191">
        <f t="shared" ref="E28:L28" si="11">E20*E26</f>
        <v>1139.2772745400202</v>
      </c>
      <c r="F28" s="191">
        <f t="shared" si="11"/>
        <v>1139.2772745400202</v>
      </c>
      <c r="G28" s="191">
        <f t="shared" si="11"/>
        <v>579.99570340219202</v>
      </c>
      <c r="H28" s="191">
        <f t="shared" si="11"/>
        <v>579.99570340219202</v>
      </c>
      <c r="I28" s="191">
        <f t="shared" si="11"/>
        <v>579.99570340219202</v>
      </c>
      <c r="J28" s="191">
        <f t="shared" si="11"/>
        <v>952.85008416074402</v>
      </c>
      <c r="K28" s="191">
        <f>K20*K26</f>
        <v>952.85008416074402</v>
      </c>
      <c r="L28" s="191">
        <f t="shared" si="11"/>
        <v>952.85008416074402</v>
      </c>
      <c r="N28" s="189" t="s">
        <v>294</v>
      </c>
      <c r="O28" s="191">
        <f>O20*O26</f>
        <v>962.73959463990002</v>
      </c>
      <c r="P28" s="191">
        <f t="shared" ref="P28:W28" si="12">P20*P26</f>
        <v>857.45987572273873</v>
      </c>
      <c r="Q28" s="191">
        <f t="shared" si="12"/>
        <v>747.87651954477019</v>
      </c>
      <c r="R28" s="191">
        <f t="shared" si="12"/>
        <v>490.12197545304008</v>
      </c>
      <c r="S28" s="191">
        <f t="shared" si="12"/>
        <v>436.52502764066702</v>
      </c>
      <c r="T28" s="191">
        <f t="shared" si="12"/>
        <v>380.73713722279206</v>
      </c>
      <c r="U28" s="191">
        <f t="shared" si="12"/>
        <v>805.20038824427991</v>
      </c>
      <c r="V28" s="191">
        <f t="shared" si="12"/>
        <v>717.14825969538151</v>
      </c>
      <c r="W28" s="191">
        <f t="shared" si="12"/>
        <v>625.49672543744407</v>
      </c>
      <c r="Z28" s="186"/>
      <c r="AA28" s="187"/>
      <c r="AB28" s="346"/>
      <c r="AC28" s="346"/>
      <c r="AD28" s="346"/>
      <c r="AE28" s="346"/>
      <c r="AF28" s="346"/>
      <c r="AG28" s="346"/>
      <c r="AH28" s="346"/>
      <c r="AI28" s="346"/>
      <c r="AJ28" s="346"/>
      <c r="AK28" s="346"/>
      <c r="AL28" s="346"/>
      <c r="AM28" s="346"/>
      <c r="AN28" s="187"/>
      <c r="AO28" s="188"/>
      <c r="AR28" s="186"/>
      <c r="AS28" s="187"/>
      <c r="AT28" s="187"/>
      <c r="AU28" s="187"/>
      <c r="AV28" s="187"/>
      <c r="AW28" s="187"/>
      <c r="AX28" s="187"/>
      <c r="AY28" s="187"/>
      <c r="AZ28" s="187"/>
      <c r="BA28" s="187"/>
      <c r="BB28" s="187"/>
      <c r="BC28" s="187"/>
      <c r="BD28" s="187"/>
      <c r="BE28" s="187"/>
      <c r="BF28" s="188"/>
      <c r="BI28" s="186"/>
      <c r="BJ28" s="187"/>
      <c r="BK28" s="187"/>
      <c r="BL28" s="187"/>
      <c r="BM28" s="187"/>
      <c r="BN28" s="187"/>
      <c r="BO28" s="187"/>
      <c r="BP28" s="187"/>
      <c r="BQ28" s="187"/>
      <c r="BR28" s="187"/>
      <c r="BS28" s="187"/>
      <c r="BT28" s="187"/>
      <c r="BU28" s="187"/>
      <c r="BV28" s="187"/>
      <c r="BW28" s="188"/>
    </row>
    <row r="29" spans="3:75" ht="16.5" thickTop="1" thickBot="1">
      <c r="C29" s="199" t="s">
        <v>295</v>
      </c>
      <c r="N29" s="199" t="s">
        <v>295</v>
      </c>
      <c r="Z29" s="186"/>
      <c r="AA29" s="187"/>
      <c r="AB29" s="346"/>
      <c r="AC29" s="346"/>
      <c r="AD29" s="346"/>
      <c r="AE29" s="346"/>
      <c r="AF29" s="346"/>
      <c r="AG29" s="346"/>
      <c r="AH29" s="346"/>
      <c r="AI29" s="346"/>
      <c r="AJ29" s="346"/>
      <c r="AK29" s="346"/>
      <c r="AL29" s="346"/>
      <c r="AM29" s="346"/>
      <c r="AN29" s="187"/>
      <c r="AO29" s="188"/>
      <c r="AR29" s="186"/>
      <c r="AS29" s="187"/>
      <c r="AT29" s="187"/>
      <c r="AU29" s="187"/>
      <c r="AV29" s="187"/>
      <c r="AW29" s="187"/>
      <c r="AX29" s="187"/>
      <c r="AY29" s="187"/>
      <c r="AZ29" s="187"/>
      <c r="BA29" s="187"/>
      <c r="BB29" s="187"/>
      <c r="BC29" s="187"/>
      <c r="BD29" s="187"/>
      <c r="BE29" s="187"/>
      <c r="BF29" s="188"/>
      <c r="BI29" s="186"/>
      <c r="BJ29" s="187"/>
      <c r="BK29" s="187"/>
      <c r="BL29" s="187"/>
      <c r="BM29" s="187"/>
      <c r="BN29" s="187"/>
      <c r="BO29" s="187"/>
      <c r="BP29" s="187"/>
      <c r="BQ29" s="187"/>
      <c r="BR29" s="187"/>
      <c r="BS29" s="187"/>
      <c r="BT29" s="187"/>
      <c r="BU29" s="187"/>
      <c r="BV29" s="187"/>
      <c r="BW29" s="188"/>
    </row>
    <row r="30" spans="3:75" ht="14.25" thickTop="1" thickBot="1">
      <c r="C30" s="189" t="s">
        <v>296</v>
      </c>
      <c r="D30" s="201">
        <f>D21*D26</f>
        <v>50.807359683696006</v>
      </c>
      <c r="E30" s="201">
        <f t="shared" ref="E30:L30" si="13">E21*E26</f>
        <v>50.807359683696006</v>
      </c>
      <c r="F30" s="201">
        <f t="shared" si="13"/>
        <v>50.807359683696006</v>
      </c>
      <c r="G30" s="201">
        <f t="shared" si="13"/>
        <v>25.865564929881597</v>
      </c>
      <c r="H30" s="201">
        <f t="shared" si="13"/>
        <v>25.865564929881597</v>
      </c>
      <c r="I30" s="201">
        <f t="shared" si="13"/>
        <v>25.865564929881597</v>
      </c>
      <c r="J30" s="201">
        <f t="shared" si="13"/>
        <v>42.493428099091197</v>
      </c>
      <c r="K30" s="201">
        <f t="shared" si="13"/>
        <v>42.493428099091197</v>
      </c>
      <c r="L30" s="201">
        <f t="shared" si="13"/>
        <v>42.493428099091197</v>
      </c>
      <c r="N30" s="189" t="s">
        <v>296</v>
      </c>
      <c r="O30" s="201">
        <f>O21*O26</f>
        <v>42.934462013519997</v>
      </c>
      <c r="P30" s="201">
        <f t="shared" ref="P30:W30" si="14">P21*P26</f>
        <v>38.239393775120995</v>
      </c>
      <c r="Q30" s="201">
        <f t="shared" si="14"/>
        <v>33.352399961496005</v>
      </c>
      <c r="R30" s="201">
        <f t="shared" si="14"/>
        <v>21.857544297792</v>
      </c>
      <c r="S30" s="201">
        <f t="shared" si="14"/>
        <v>19.467327740061599</v>
      </c>
      <c r="T30" s="201">
        <f t="shared" si="14"/>
        <v>16.979403616761601</v>
      </c>
      <c r="U30" s="201">
        <f t="shared" si="14"/>
        <v>35.908822774943992</v>
      </c>
      <c r="V30" s="201">
        <f t="shared" si="14"/>
        <v>31.982038430101195</v>
      </c>
      <c r="W30" s="201">
        <f t="shared" si="14"/>
        <v>27.894734513251198</v>
      </c>
      <c r="Z30" s="202"/>
      <c r="AA30" s="203"/>
      <c r="AB30" s="203"/>
      <c r="AC30" s="203"/>
      <c r="AD30" s="203"/>
      <c r="AE30" s="203"/>
      <c r="AF30" s="203"/>
      <c r="AG30" s="203"/>
      <c r="AH30" s="203"/>
      <c r="AI30" s="203"/>
      <c r="AJ30" s="203"/>
      <c r="AK30" s="203"/>
      <c r="AL30" s="203"/>
      <c r="AM30" s="203"/>
      <c r="AN30" s="203"/>
      <c r="AO30" s="204"/>
      <c r="AR30" s="186"/>
      <c r="AS30" s="187"/>
      <c r="AT30" s="187"/>
      <c r="AU30" s="187"/>
      <c r="AV30" s="187"/>
      <c r="AW30" s="187"/>
      <c r="AX30" s="187"/>
      <c r="AY30" s="187"/>
      <c r="AZ30" s="187"/>
      <c r="BA30" s="187"/>
      <c r="BB30" s="187"/>
      <c r="BC30" s="187"/>
      <c r="BD30" s="187"/>
      <c r="BE30" s="187"/>
      <c r="BF30" s="188"/>
      <c r="BI30" s="186"/>
      <c r="BJ30" s="187"/>
      <c r="BK30" s="187"/>
      <c r="BL30" s="187"/>
      <c r="BM30" s="187"/>
      <c r="BN30" s="187"/>
      <c r="BO30" s="187"/>
      <c r="BP30" s="187"/>
      <c r="BQ30" s="187"/>
      <c r="BR30" s="187"/>
      <c r="BS30" s="187"/>
      <c r="BT30" s="187"/>
      <c r="BU30" s="187"/>
      <c r="BV30" s="187"/>
      <c r="BW30" s="188"/>
    </row>
    <row r="31" spans="3:75" ht="16.5" thickTop="1" thickBot="1">
      <c r="C31" s="199" t="s">
        <v>297</v>
      </c>
      <c r="N31" s="199" t="s">
        <v>297</v>
      </c>
      <c r="AR31" s="186"/>
      <c r="AS31" s="187"/>
      <c r="AT31" s="187"/>
      <c r="AU31" s="187"/>
      <c r="AV31" s="187"/>
      <c r="AW31" s="187"/>
      <c r="AX31" s="187"/>
      <c r="AY31" s="187"/>
      <c r="AZ31" s="187"/>
      <c r="BA31" s="187"/>
      <c r="BB31" s="187"/>
      <c r="BC31" s="187"/>
      <c r="BD31" s="187"/>
      <c r="BE31" s="187"/>
      <c r="BF31" s="188"/>
      <c r="BI31" s="186"/>
      <c r="BJ31" s="187"/>
      <c r="BK31" s="187"/>
      <c r="BL31" s="187"/>
      <c r="BM31" s="187"/>
      <c r="BN31" s="187"/>
      <c r="BO31" s="187"/>
      <c r="BP31" s="187"/>
      <c r="BQ31" s="187"/>
      <c r="BR31" s="187"/>
      <c r="BS31" s="187"/>
      <c r="BT31" s="187"/>
      <c r="BU31" s="187"/>
      <c r="BV31" s="187"/>
      <c r="BW31" s="188"/>
    </row>
    <row r="32" spans="3:75" ht="14.25" thickTop="1" thickBot="1">
      <c r="C32" s="189" t="s">
        <v>294</v>
      </c>
      <c r="D32" s="191">
        <f>D28*'MH Input Assumptions'!$D$19</f>
        <v>1012.817497066078</v>
      </c>
      <c r="E32" s="191">
        <f>E28*'MH Input Assumptions'!$D$19</f>
        <v>1012.817497066078</v>
      </c>
      <c r="F32" s="191">
        <f>F28*'MH Input Assumptions'!$D$19</f>
        <v>1012.817497066078</v>
      </c>
      <c r="G32" s="191">
        <f>G28*'MH Input Assumptions'!$D$19</f>
        <v>515.61618032454874</v>
      </c>
      <c r="H32" s="191">
        <f>H28*'MH Input Assumptions'!$D$19</f>
        <v>515.61618032454874</v>
      </c>
      <c r="I32" s="191">
        <f>I28*'MH Input Assumptions'!$D$19</f>
        <v>515.61618032454874</v>
      </c>
      <c r="J32" s="191">
        <f>J28*'MH Input Assumptions'!$D$19</f>
        <v>847.08372481890149</v>
      </c>
      <c r="K32" s="191">
        <f>K28*'MH Input Assumptions'!$D$19</f>
        <v>847.08372481890149</v>
      </c>
      <c r="L32" s="191">
        <f>L28*'MH Input Assumptions'!$D$19</f>
        <v>847.08372481890149</v>
      </c>
      <c r="N32" s="189" t="s">
        <v>294</v>
      </c>
      <c r="O32" s="191">
        <f>O28*'MH Input Assumptions'!$D$19</f>
        <v>855.87549963487118</v>
      </c>
      <c r="P32" s="191">
        <f>P28*'MH Input Assumptions'!$D$19</f>
        <v>762.28182951751478</v>
      </c>
      <c r="Q32" s="191">
        <f>Q28*'MH Input Assumptions'!$D$19</f>
        <v>664.86222587530074</v>
      </c>
      <c r="R32" s="191">
        <f>R28*'MH Input Assumptions'!$D$19</f>
        <v>435.71843617775266</v>
      </c>
      <c r="S32" s="191">
        <f>S28*'MH Input Assumptions'!$D$19</f>
        <v>388.07074957255298</v>
      </c>
      <c r="T32" s="191">
        <f>T28*'MH Input Assumptions'!$D$19</f>
        <v>338.47531499106213</v>
      </c>
      <c r="U32" s="191">
        <f>U28*'MH Input Assumptions'!$D$19</f>
        <v>715.82314514916482</v>
      </c>
      <c r="V32" s="191">
        <f>V28*'MH Input Assumptions'!$D$19</f>
        <v>637.5448028691942</v>
      </c>
      <c r="W32" s="191">
        <f>W28*'MH Input Assumptions'!$D$19</f>
        <v>556.06658891388781</v>
      </c>
      <c r="AR32" s="186"/>
      <c r="AS32" s="187"/>
      <c r="AT32" s="187"/>
      <c r="AU32" s="187"/>
      <c r="AV32" s="187"/>
      <c r="AW32" s="187"/>
      <c r="AX32" s="187"/>
      <c r="AY32" s="187"/>
      <c r="AZ32" s="187"/>
      <c r="BA32" s="187"/>
      <c r="BB32" s="187"/>
      <c r="BC32" s="187"/>
      <c r="BD32" s="187"/>
      <c r="BE32" s="187"/>
      <c r="BF32" s="188"/>
      <c r="BI32" s="186"/>
      <c r="BJ32" s="187"/>
      <c r="BK32" s="187"/>
      <c r="BL32" s="187"/>
      <c r="BM32" s="187"/>
      <c r="BN32" s="187"/>
      <c r="BO32" s="187"/>
      <c r="BP32" s="187"/>
      <c r="BQ32" s="187"/>
      <c r="BR32" s="187"/>
      <c r="BS32" s="187"/>
      <c r="BT32" s="187"/>
      <c r="BU32" s="187"/>
      <c r="BV32" s="187"/>
      <c r="BW32" s="188"/>
    </row>
    <row r="33" spans="2:75" ht="14.25" thickTop="1" thickBot="1">
      <c r="C33" s="189" t="s">
        <v>296</v>
      </c>
      <c r="D33" s="201">
        <f>D30*(1-'MH Input Assumptions'!$D$19)</f>
        <v>5.6396169248902561</v>
      </c>
      <c r="E33" s="201">
        <f>E30*(1-'MH Input Assumptions'!$D$19)</f>
        <v>5.6396169248902561</v>
      </c>
      <c r="F33" s="201">
        <f>F30*(1-'MH Input Assumptions'!$D$19)</f>
        <v>5.6396169248902561</v>
      </c>
      <c r="G33" s="201">
        <f>G30*(1-'MH Input Assumptions'!$D$19)</f>
        <v>2.8710777072168567</v>
      </c>
      <c r="H33" s="201">
        <f>H30*(1-'MH Input Assumptions'!$D$19)</f>
        <v>2.8710777072168567</v>
      </c>
      <c r="I33" s="201">
        <f>I30*(1-'MH Input Assumptions'!$D$19)</f>
        <v>2.8710777072168567</v>
      </c>
      <c r="J33" s="201">
        <f>J30*(1-'MH Input Assumptions'!$D$19)</f>
        <v>4.7167705189991223</v>
      </c>
      <c r="K33" s="201">
        <f>K30*(1-'MH Input Assumptions'!$D$19)</f>
        <v>4.7167705189991223</v>
      </c>
      <c r="L33" s="201">
        <f>L30*(1-'MH Input Assumptions'!$D$19)</f>
        <v>4.7167705189991223</v>
      </c>
      <c r="N33" s="189" t="s">
        <v>296</v>
      </c>
      <c r="O33" s="201">
        <f>O30*(1-'MH Input Assumptions'!$D$19)</f>
        <v>4.7657252835007196</v>
      </c>
      <c r="P33" s="201">
        <f>P30*(1-'MH Input Assumptions'!$D$19)</f>
        <v>4.2445727090384295</v>
      </c>
      <c r="Q33" s="201">
        <f>Q30*(1-'MH Input Assumptions'!$D$19)</f>
        <v>3.7021163957260561</v>
      </c>
      <c r="R33" s="201">
        <f>R30*(1-'MH Input Assumptions'!$D$19)</f>
        <v>2.4261874170549116</v>
      </c>
      <c r="S33" s="201">
        <f>S30*(1-'MH Input Assumptions'!$D$19)</f>
        <v>2.1608733791468371</v>
      </c>
      <c r="T33" s="201">
        <f>T30*(1-'MH Input Assumptions'!$D$19)</f>
        <v>1.8847138014605376</v>
      </c>
      <c r="U33" s="201">
        <f>U30*(1-'MH Input Assumptions'!$D$19)</f>
        <v>3.9858793280187825</v>
      </c>
      <c r="V33" s="201">
        <f>V30*(1-'MH Input Assumptions'!$D$19)</f>
        <v>3.5500062657412323</v>
      </c>
      <c r="W33" s="201">
        <f>W30*(1-'MH Input Assumptions'!$D$19)</f>
        <v>3.0963155309708825</v>
      </c>
      <c r="AR33" s="186"/>
      <c r="AS33" s="187"/>
      <c r="AT33" s="187"/>
      <c r="AU33" s="187"/>
      <c r="AV33" s="187"/>
      <c r="AW33" s="187"/>
      <c r="AX33" s="187"/>
      <c r="AY33" s="187"/>
      <c r="AZ33" s="187"/>
      <c r="BA33" s="187"/>
      <c r="BB33" s="187"/>
      <c r="BC33" s="187"/>
      <c r="BD33" s="187"/>
      <c r="BE33" s="187"/>
      <c r="BF33" s="188"/>
      <c r="BI33" s="186"/>
      <c r="BJ33" s="187"/>
      <c r="BK33" s="187"/>
      <c r="BL33" s="187"/>
      <c r="BM33" s="187"/>
      <c r="BN33" s="187"/>
      <c r="BO33" s="187"/>
      <c r="BP33" s="187"/>
      <c r="BQ33" s="187"/>
      <c r="BR33" s="187"/>
      <c r="BS33" s="187"/>
      <c r="BT33" s="187"/>
      <c r="BU33" s="187"/>
      <c r="BV33" s="187"/>
      <c r="BW33" s="188"/>
    </row>
    <row r="34" spans="2:75" ht="13.5" thickTop="1">
      <c r="Z34" s="183"/>
      <c r="AA34" s="184"/>
      <c r="AB34" s="184"/>
      <c r="AC34" s="184"/>
      <c r="AD34" s="184"/>
      <c r="AE34" s="184"/>
      <c r="AF34" s="184"/>
      <c r="AG34" s="184"/>
      <c r="AH34" s="184"/>
      <c r="AI34" s="184"/>
      <c r="AJ34" s="184"/>
      <c r="AK34" s="184"/>
      <c r="AL34" s="184"/>
      <c r="AM34" s="184"/>
      <c r="AN34" s="184"/>
      <c r="AO34" s="185"/>
      <c r="AR34" s="186"/>
      <c r="AS34" s="187"/>
      <c r="AT34" s="187"/>
      <c r="AU34" s="187"/>
      <c r="AV34" s="187"/>
      <c r="AW34" s="187"/>
      <c r="AX34" s="187"/>
      <c r="AY34" s="187"/>
      <c r="AZ34" s="187"/>
      <c r="BA34" s="187"/>
      <c r="BB34" s="187"/>
      <c r="BC34" s="187"/>
      <c r="BD34" s="187"/>
      <c r="BE34" s="187"/>
      <c r="BF34" s="188"/>
      <c r="BI34" s="186"/>
      <c r="BJ34" s="187"/>
      <c r="BK34" s="187"/>
      <c r="BL34" s="187"/>
      <c r="BM34" s="187"/>
      <c r="BN34" s="187"/>
      <c r="BO34" s="187"/>
      <c r="BP34" s="187"/>
      <c r="BQ34" s="187"/>
      <c r="BR34" s="187"/>
      <c r="BS34" s="187"/>
      <c r="BT34" s="187"/>
      <c r="BU34" s="187"/>
      <c r="BV34" s="187"/>
      <c r="BW34" s="188"/>
    </row>
    <row r="35" spans="2:75" ht="15">
      <c r="B35" s="205" t="s">
        <v>298</v>
      </c>
      <c r="C35" s="178"/>
      <c r="D35" s="178"/>
      <c r="E35" s="178"/>
      <c r="F35" s="178"/>
      <c r="G35" s="178"/>
      <c r="H35" s="178"/>
      <c r="I35" s="120" t="s">
        <v>211</v>
      </c>
      <c r="J35" s="178"/>
      <c r="K35" s="178"/>
      <c r="L35" s="178"/>
      <c r="Z35" s="186"/>
      <c r="AA35" s="187"/>
      <c r="AB35" s="187"/>
      <c r="AC35" s="187"/>
      <c r="AD35" s="187"/>
      <c r="AE35" s="187"/>
      <c r="AF35" s="187"/>
      <c r="AG35" s="187"/>
      <c r="AH35" s="187"/>
      <c r="AI35" s="187"/>
      <c r="AJ35" s="187"/>
      <c r="AK35" s="187"/>
      <c r="AL35" s="187"/>
      <c r="AM35" s="187"/>
      <c r="AN35" s="187"/>
      <c r="AO35" s="188"/>
      <c r="AR35" s="186"/>
      <c r="AS35" s="187"/>
      <c r="AT35" s="187"/>
      <c r="AU35" s="187"/>
      <c r="AV35" s="187"/>
      <c r="AW35" s="187"/>
      <c r="AX35" s="187"/>
      <c r="AY35" s="187"/>
      <c r="AZ35" s="187"/>
      <c r="BA35" s="187"/>
      <c r="BB35" s="187"/>
      <c r="BC35" s="187"/>
      <c r="BD35" s="187"/>
      <c r="BE35" s="187"/>
      <c r="BF35" s="188"/>
      <c r="BI35" s="186"/>
      <c r="BJ35" s="187"/>
      <c r="BK35" s="187"/>
      <c r="BL35" s="187"/>
      <c r="BM35" s="187"/>
      <c r="BN35" s="187"/>
      <c r="BO35" s="187"/>
      <c r="BP35" s="187"/>
      <c r="BQ35" s="187"/>
      <c r="BR35" s="187"/>
      <c r="BS35" s="187"/>
      <c r="BT35" s="187"/>
      <c r="BU35" s="187"/>
      <c r="BV35" s="187"/>
      <c r="BW35" s="188"/>
    </row>
    <row r="36" spans="2:75" ht="13.5" thickBot="1">
      <c r="Z36" s="186"/>
      <c r="AA36" s="187"/>
      <c r="AB36" s="187"/>
      <c r="AC36" s="187"/>
      <c r="AD36" s="187"/>
      <c r="AE36" s="187"/>
      <c r="AF36" s="187"/>
      <c r="AG36" s="187"/>
      <c r="AH36" s="187"/>
      <c r="AI36" s="187"/>
      <c r="AJ36" s="187"/>
      <c r="AK36" s="187"/>
      <c r="AL36" s="187"/>
      <c r="AM36" s="187"/>
      <c r="AN36" s="187"/>
      <c r="AO36" s="188"/>
      <c r="AR36" s="186"/>
      <c r="AS36" s="187"/>
      <c r="AT36" s="187"/>
      <c r="AU36" s="187"/>
      <c r="AV36" s="187"/>
      <c r="AW36" s="187"/>
      <c r="AX36" s="187"/>
      <c r="AY36" s="187"/>
      <c r="AZ36" s="187"/>
      <c r="BA36" s="187"/>
      <c r="BB36" s="187"/>
      <c r="BC36" s="187"/>
      <c r="BD36" s="187"/>
      <c r="BE36" s="187"/>
      <c r="BF36" s="188"/>
      <c r="BI36" s="186"/>
      <c r="BJ36" s="187"/>
      <c r="BK36" s="187"/>
      <c r="BL36" s="187"/>
      <c r="BM36" s="187"/>
      <c r="BN36" s="187"/>
      <c r="BO36" s="187"/>
      <c r="BP36" s="187"/>
      <c r="BQ36" s="187"/>
      <c r="BR36" s="187"/>
      <c r="BS36" s="187"/>
      <c r="BT36" s="187"/>
      <c r="BU36" s="187"/>
      <c r="BV36" s="187"/>
      <c r="BW36" s="188"/>
    </row>
    <row r="37" spans="2:75" ht="16.5" customHeight="1" thickTop="1" thickBot="1">
      <c r="C37" s="182" t="s">
        <v>268</v>
      </c>
      <c r="D37" s="344" t="str">
        <f>$D$9</f>
        <v>Primary Shower</v>
      </c>
      <c r="E37" s="344"/>
      <c r="F37" s="344"/>
      <c r="G37" s="344" t="str">
        <f>$G$9</f>
        <v>Secondary Shower</v>
      </c>
      <c r="H37" s="344"/>
      <c r="I37" s="344"/>
      <c r="J37" s="344" t="str">
        <f>$J$9</f>
        <v>Any Shower</v>
      </c>
      <c r="K37" s="344"/>
      <c r="L37" s="344"/>
      <c r="Z37" s="186"/>
      <c r="AA37" s="187"/>
      <c r="AB37" s="187"/>
      <c r="AC37" s="187"/>
      <c r="AD37" s="187"/>
      <c r="AE37" s="187"/>
      <c r="AF37" s="187"/>
      <c r="AG37" s="187"/>
      <c r="AH37" s="187"/>
      <c r="AI37" s="187"/>
      <c r="AJ37" s="187"/>
      <c r="AK37" s="187"/>
      <c r="AL37" s="187"/>
      <c r="AM37" s="187"/>
      <c r="AN37" s="187"/>
      <c r="AO37" s="188"/>
      <c r="AR37" s="186"/>
      <c r="AS37" s="187"/>
      <c r="AT37" s="187"/>
      <c r="AU37" s="187"/>
      <c r="AV37" s="187"/>
      <c r="AW37" s="187"/>
      <c r="AX37" s="187"/>
      <c r="AY37" s="187"/>
      <c r="AZ37" s="187"/>
      <c r="BA37" s="187"/>
      <c r="BB37" s="187"/>
      <c r="BC37" s="187"/>
      <c r="BD37" s="187"/>
      <c r="BE37" s="187"/>
      <c r="BF37" s="188"/>
      <c r="BI37" s="186"/>
      <c r="BJ37" s="187"/>
      <c r="BK37" s="187"/>
      <c r="BL37" s="187"/>
      <c r="BM37" s="187"/>
      <c r="BN37" s="187"/>
      <c r="BO37" s="187"/>
      <c r="BP37" s="187"/>
      <c r="BQ37" s="187"/>
      <c r="BR37" s="187"/>
      <c r="BS37" s="187"/>
      <c r="BT37" s="187"/>
      <c r="BU37" s="187"/>
      <c r="BV37" s="187"/>
      <c r="BW37" s="188"/>
    </row>
    <row r="38" spans="2:75" ht="31.5" customHeight="1" thickTop="1" thickBot="1">
      <c r="C38" s="182" t="s">
        <v>272</v>
      </c>
      <c r="D38" s="314" t="s">
        <v>273</v>
      </c>
      <c r="E38" s="314" t="s">
        <v>274</v>
      </c>
      <c r="F38" s="314" t="s">
        <v>275</v>
      </c>
      <c r="G38" s="314" t="s">
        <v>273</v>
      </c>
      <c r="H38" s="314" t="s">
        <v>274</v>
      </c>
      <c r="I38" s="314" t="s">
        <v>275</v>
      </c>
      <c r="J38" s="314" t="s">
        <v>273</v>
      </c>
      <c r="K38" s="314" t="s">
        <v>274</v>
      </c>
      <c r="L38" s="314" t="s">
        <v>275</v>
      </c>
      <c r="Z38" s="186"/>
      <c r="AA38" s="187"/>
      <c r="AB38" s="187"/>
      <c r="AC38" s="187"/>
      <c r="AD38" s="187"/>
      <c r="AE38" s="187"/>
      <c r="AF38" s="187"/>
      <c r="AG38" s="187"/>
      <c r="AH38" s="187"/>
      <c r="AI38" s="187"/>
      <c r="AJ38" s="187"/>
      <c r="AK38" s="187"/>
      <c r="AL38" s="187"/>
      <c r="AM38" s="187"/>
      <c r="AN38" s="187"/>
      <c r="AO38" s="188"/>
      <c r="AR38" s="186"/>
      <c r="AS38" s="187"/>
      <c r="AT38" s="187"/>
      <c r="AU38" s="187"/>
      <c r="AV38" s="187"/>
      <c r="AW38" s="187"/>
      <c r="AX38" s="187"/>
      <c r="AY38" s="187"/>
      <c r="AZ38" s="187"/>
      <c r="BA38" s="187"/>
      <c r="BB38" s="187"/>
      <c r="BC38" s="187"/>
      <c r="BD38" s="187"/>
      <c r="BE38" s="187"/>
      <c r="BF38" s="188"/>
      <c r="BI38" s="186"/>
      <c r="BJ38" s="187"/>
      <c r="BK38" s="187"/>
      <c r="BL38" s="187"/>
      <c r="BM38" s="187"/>
      <c r="BN38" s="187"/>
      <c r="BO38" s="187"/>
      <c r="BP38" s="187"/>
      <c r="BQ38" s="187"/>
      <c r="BR38" s="187"/>
      <c r="BS38" s="187"/>
      <c r="BT38" s="187"/>
      <c r="BU38" s="187"/>
      <c r="BV38" s="187"/>
      <c r="BW38" s="188"/>
    </row>
    <row r="39" spans="2:75" ht="16.5" thickTop="1" thickBot="1">
      <c r="C39" s="206" t="s">
        <v>299</v>
      </c>
      <c r="D39" s="207"/>
      <c r="E39" s="207"/>
      <c r="F39" s="207"/>
      <c r="G39" s="207"/>
      <c r="H39" s="207"/>
      <c r="I39" s="207"/>
      <c r="J39" s="207"/>
      <c r="K39" s="207"/>
      <c r="L39" s="207"/>
      <c r="Z39" s="186"/>
      <c r="AA39" s="187"/>
      <c r="AB39" s="187"/>
      <c r="AC39" s="187"/>
      <c r="AD39" s="187"/>
      <c r="AE39" s="187"/>
      <c r="AF39" s="187"/>
      <c r="AG39" s="187"/>
      <c r="AH39" s="187"/>
      <c r="AI39" s="187"/>
      <c r="AJ39" s="187"/>
      <c r="AK39" s="187"/>
      <c r="AL39" s="187"/>
      <c r="AM39" s="187"/>
      <c r="AN39" s="187"/>
      <c r="AO39" s="188"/>
      <c r="AR39" s="186"/>
      <c r="AS39" s="187"/>
      <c r="AT39" s="187"/>
      <c r="AU39" s="187"/>
      <c r="AV39" s="187"/>
      <c r="AW39" s="187"/>
      <c r="AX39" s="187"/>
      <c r="AY39" s="187"/>
      <c r="AZ39" s="187"/>
      <c r="BA39" s="187"/>
      <c r="BB39" s="187"/>
      <c r="BC39" s="187"/>
      <c r="BD39" s="187"/>
      <c r="BE39" s="187"/>
      <c r="BF39" s="188"/>
      <c r="BI39" s="186"/>
      <c r="BJ39" s="187"/>
      <c r="BK39" s="187"/>
      <c r="BL39" s="187"/>
      <c r="BM39" s="187"/>
      <c r="BN39" s="187"/>
      <c r="BO39" s="187"/>
      <c r="BP39" s="187"/>
      <c r="BQ39" s="187"/>
      <c r="BR39" s="187"/>
      <c r="BS39" s="187"/>
      <c r="BT39" s="187"/>
      <c r="BU39" s="187"/>
      <c r="BV39" s="187"/>
      <c r="BW39" s="188"/>
    </row>
    <row r="40" spans="2:75" ht="14.25" thickTop="1" thickBot="1">
      <c r="C40" s="189" t="s">
        <v>266</v>
      </c>
      <c r="D40" s="191">
        <f>D22</f>
        <v>8333.8024000000005</v>
      </c>
      <c r="E40" s="191">
        <f t="shared" ref="E40:L40" si="15">E22</f>
        <v>8333.8024000000005</v>
      </c>
      <c r="F40" s="191">
        <f t="shared" si="15"/>
        <v>8333.8024000000005</v>
      </c>
      <c r="G40" s="191">
        <f t="shared" si="15"/>
        <v>4242.6630400000004</v>
      </c>
      <c r="H40" s="191">
        <f t="shared" si="15"/>
        <v>4242.6630400000004</v>
      </c>
      <c r="I40" s="191">
        <f t="shared" si="15"/>
        <v>4242.6630400000004</v>
      </c>
      <c r="J40" s="191">
        <f t="shared" si="15"/>
        <v>6970.0892800000001</v>
      </c>
      <c r="K40" s="191">
        <f t="shared" si="15"/>
        <v>6970.0892800000001</v>
      </c>
      <c r="L40" s="191">
        <f t="shared" si="15"/>
        <v>6970.0892800000001</v>
      </c>
      <c r="Z40" s="186"/>
      <c r="AA40" s="187"/>
      <c r="AB40" s="187"/>
      <c r="AC40" s="187"/>
      <c r="AD40" s="187"/>
      <c r="AE40" s="187"/>
      <c r="AF40" s="187"/>
      <c r="AG40" s="187"/>
      <c r="AH40" s="187"/>
      <c r="AI40" s="187"/>
      <c r="AJ40" s="187"/>
      <c r="AK40" s="187"/>
      <c r="AL40" s="187"/>
      <c r="AM40" s="187"/>
      <c r="AN40" s="187"/>
      <c r="AO40" s="188"/>
      <c r="AR40" s="186"/>
      <c r="AS40" s="187"/>
      <c r="AT40" s="187"/>
      <c r="AU40" s="187"/>
      <c r="AV40" s="187"/>
      <c r="AW40" s="187"/>
      <c r="AX40" s="187"/>
      <c r="AY40" s="187"/>
      <c r="AZ40" s="187"/>
      <c r="BA40" s="187"/>
      <c r="BB40" s="187"/>
      <c r="BC40" s="187"/>
      <c r="BD40" s="187"/>
      <c r="BE40" s="187"/>
      <c r="BF40" s="188"/>
      <c r="BI40" s="186"/>
      <c r="BJ40" s="187"/>
      <c r="BK40" s="187"/>
      <c r="BL40" s="187"/>
      <c r="BM40" s="187"/>
      <c r="BN40" s="187"/>
      <c r="BO40" s="187"/>
      <c r="BP40" s="187"/>
      <c r="BQ40" s="187"/>
      <c r="BR40" s="187"/>
      <c r="BS40" s="187"/>
      <c r="BT40" s="187"/>
      <c r="BU40" s="187"/>
      <c r="BV40" s="187"/>
      <c r="BW40" s="188"/>
    </row>
    <row r="41" spans="2:75" ht="14.25" thickTop="1" thickBot="1">
      <c r="C41" s="189" t="s">
        <v>267</v>
      </c>
      <c r="D41" s="191">
        <f t="shared" ref="D41:L41" si="16">O22</f>
        <v>6818.5655999999999</v>
      </c>
      <c r="E41" s="191">
        <f t="shared" si="16"/>
        <v>5966.2448999999997</v>
      </c>
      <c r="F41" s="191">
        <f t="shared" si="16"/>
        <v>5113.9242000000004</v>
      </c>
      <c r="G41" s="191">
        <f t="shared" si="16"/>
        <v>3471.2697600000006</v>
      </c>
      <c r="H41" s="191">
        <f t="shared" si="16"/>
        <v>3037.3610399999998</v>
      </c>
      <c r="I41" s="191">
        <f t="shared" si="16"/>
        <v>2603.4523200000003</v>
      </c>
      <c r="J41" s="191">
        <f t="shared" si="16"/>
        <v>5702.8003199999994</v>
      </c>
      <c r="K41" s="191">
        <f t="shared" si="16"/>
        <v>4989.9502799999991</v>
      </c>
      <c r="L41" s="191">
        <f t="shared" si="16"/>
        <v>4277.1002399999998</v>
      </c>
      <c r="Z41" s="186"/>
      <c r="AA41" s="187"/>
      <c r="AB41" s="187"/>
      <c r="AC41" s="187"/>
      <c r="AD41" s="187"/>
      <c r="AE41" s="187"/>
      <c r="AF41" s="187"/>
      <c r="AG41" s="187"/>
      <c r="AH41" s="187"/>
      <c r="AI41" s="187"/>
      <c r="AJ41" s="187"/>
      <c r="AK41" s="187"/>
      <c r="AL41" s="187"/>
      <c r="AM41" s="187"/>
      <c r="AN41" s="187"/>
      <c r="AO41" s="188"/>
      <c r="AR41" s="186"/>
      <c r="AS41" s="187"/>
      <c r="AT41" s="187"/>
      <c r="AU41" s="187"/>
      <c r="AV41" s="187"/>
      <c r="AW41" s="187"/>
      <c r="AX41" s="187"/>
      <c r="AY41" s="187"/>
      <c r="AZ41" s="187"/>
      <c r="BA41" s="187"/>
      <c r="BB41" s="187"/>
      <c r="BC41" s="187"/>
      <c r="BD41" s="187"/>
      <c r="BE41" s="187"/>
      <c r="BF41" s="188"/>
      <c r="BI41" s="186"/>
      <c r="BJ41" s="187"/>
      <c r="BK41" s="187"/>
      <c r="BL41" s="187"/>
      <c r="BM41" s="187"/>
      <c r="BN41" s="187"/>
      <c r="BO41" s="187"/>
      <c r="BP41" s="187"/>
      <c r="BQ41" s="187"/>
      <c r="BR41" s="187"/>
      <c r="BS41" s="187"/>
      <c r="BT41" s="187"/>
      <c r="BU41" s="187"/>
      <c r="BV41" s="187"/>
      <c r="BW41" s="188"/>
    </row>
    <row r="42" spans="2:75" ht="16.5" customHeight="1" thickTop="1" thickBot="1">
      <c r="C42" s="182" t="s">
        <v>202</v>
      </c>
      <c r="D42" s="208">
        <f>D40-D41</f>
        <v>1515.2368000000006</v>
      </c>
      <c r="E42" s="208">
        <f t="shared" ref="E42:L42" si="17">E40-E41</f>
        <v>2367.5575000000008</v>
      </c>
      <c r="F42" s="208">
        <f t="shared" si="17"/>
        <v>3219.8782000000001</v>
      </c>
      <c r="G42" s="208">
        <f t="shared" si="17"/>
        <v>771.39327999999978</v>
      </c>
      <c r="H42" s="208">
        <f t="shared" si="17"/>
        <v>1205.3020000000006</v>
      </c>
      <c r="I42" s="208">
        <f t="shared" si="17"/>
        <v>1639.21072</v>
      </c>
      <c r="J42" s="208">
        <f t="shared" si="17"/>
        <v>1267.2889600000008</v>
      </c>
      <c r="K42" s="208">
        <f t="shared" si="17"/>
        <v>1980.139000000001</v>
      </c>
      <c r="L42" s="208">
        <f t="shared" si="17"/>
        <v>2692.9890400000004</v>
      </c>
      <c r="Z42" s="186"/>
      <c r="AA42" s="187"/>
      <c r="AB42" s="187"/>
      <c r="AC42" s="187"/>
      <c r="AD42" s="187"/>
      <c r="AE42" s="187"/>
      <c r="AF42" s="187"/>
      <c r="AG42" s="187"/>
      <c r="AH42" s="187"/>
      <c r="AI42" s="187"/>
      <c r="AJ42" s="187"/>
      <c r="AK42" s="187"/>
      <c r="AL42" s="187"/>
      <c r="AM42" s="187"/>
      <c r="AN42" s="187"/>
      <c r="AO42" s="188"/>
      <c r="AR42" s="186"/>
      <c r="AS42" s="187"/>
      <c r="AT42" s="187"/>
      <c r="AU42" s="187"/>
      <c r="AV42" s="187"/>
      <c r="AW42" s="187"/>
      <c r="AX42" s="187"/>
      <c r="AY42" s="187"/>
      <c r="AZ42" s="187"/>
      <c r="BA42" s="187"/>
      <c r="BB42" s="187"/>
      <c r="BC42" s="187"/>
      <c r="BD42" s="187"/>
      <c r="BE42" s="187"/>
      <c r="BF42" s="188"/>
      <c r="BI42" s="186"/>
      <c r="BJ42" s="187"/>
      <c r="BK42" s="187"/>
      <c r="BL42" s="346" t="s">
        <v>300</v>
      </c>
      <c r="BM42" s="346"/>
      <c r="BN42" s="346"/>
      <c r="BO42" s="346"/>
      <c r="BP42" s="346"/>
      <c r="BQ42" s="346"/>
      <c r="BR42" s="346"/>
      <c r="BS42" s="346"/>
      <c r="BT42" s="346"/>
      <c r="BU42" s="187"/>
      <c r="BV42" s="187"/>
      <c r="BW42" s="188"/>
    </row>
    <row r="43" spans="2:75" ht="16.5" thickTop="1" thickBot="1">
      <c r="C43" s="182" t="s">
        <v>301</v>
      </c>
      <c r="D43" s="209">
        <f>D42/D40</f>
        <v>0.18181818181818188</v>
      </c>
      <c r="E43" s="209">
        <f t="shared" ref="E43:L43" si="18">E42/E40</f>
        <v>0.28409090909090917</v>
      </c>
      <c r="F43" s="209">
        <f t="shared" si="18"/>
        <v>0.38636363636363635</v>
      </c>
      <c r="G43" s="209">
        <f t="shared" si="18"/>
        <v>0.18181818181818174</v>
      </c>
      <c r="H43" s="209">
        <f t="shared" si="18"/>
        <v>0.28409090909090923</v>
      </c>
      <c r="I43" s="209">
        <f t="shared" si="18"/>
        <v>0.38636363636363635</v>
      </c>
      <c r="J43" s="209">
        <f t="shared" si="18"/>
        <v>0.18181818181818193</v>
      </c>
      <c r="K43" s="209">
        <f t="shared" si="18"/>
        <v>0.28409090909090923</v>
      </c>
      <c r="L43" s="209">
        <f t="shared" si="18"/>
        <v>0.38636363636363641</v>
      </c>
      <c r="Z43" s="186"/>
      <c r="AA43" s="187"/>
      <c r="AB43" s="187"/>
      <c r="AC43" s="187"/>
      <c r="AD43" s="187"/>
      <c r="AE43" s="187"/>
      <c r="AF43" s="187"/>
      <c r="AG43" s="187"/>
      <c r="AH43" s="187"/>
      <c r="AI43" s="187"/>
      <c r="AJ43" s="187"/>
      <c r="AK43" s="187"/>
      <c r="AL43" s="187"/>
      <c r="AM43" s="187"/>
      <c r="AN43" s="187"/>
      <c r="AO43" s="188"/>
      <c r="AR43" s="186"/>
      <c r="AS43" s="187"/>
      <c r="AT43" s="187"/>
      <c r="AU43" s="187"/>
      <c r="AV43" s="187"/>
      <c r="AW43" s="187"/>
      <c r="AX43" s="187"/>
      <c r="AY43" s="187"/>
      <c r="AZ43" s="187"/>
      <c r="BA43" s="187"/>
      <c r="BB43" s="187"/>
      <c r="BC43" s="187"/>
      <c r="BD43" s="187"/>
      <c r="BE43" s="187"/>
      <c r="BF43" s="188"/>
      <c r="BI43" s="186"/>
      <c r="BJ43" s="187"/>
      <c r="BK43" s="187"/>
      <c r="BL43" s="346"/>
      <c r="BM43" s="346"/>
      <c r="BN43" s="346"/>
      <c r="BO43" s="346"/>
      <c r="BP43" s="346"/>
      <c r="BQ43" s="346"/>
      <c r="BR43" s="346"/>
      <c r="BS43" s="346"/>
      <c r="BT43" s="346"/>
      <c r="BU43" s="187"/>
      <c r="BV43" s="187"/>
      <c r="BW43" s="188"/>
    </row>
    <row r="44" spans="2:75" ht="16.5" thickTop="1" thickBot="1">
      <c r="C44" s="206" t="s">
        <v>288</v>
      </c>
      <c r="D44" s="207"/>
      <c r="E44" s="207"/>
      <c r="F44" s="207"/>
      <c r="G44" s="207"/>
      <c r="H44" s="207"/>
      <c r="I44" s="207"/>
      <c r="J44" s="207"/>
      <c r="K44" s="207"/>
      <c r="L44" s="207"/>
      <c r="Z44" s="186"/>
      <c r="AA44" s="187"/>
      <c r="AB44" s="187"/>
      <c r="AC44" s="187"/>
      <c r="AD44" s="187"/>
      <c r="AE44" s="187"/>
      <c r="AF44" s="187"/>
      <c r="AG44" s="187"/>
      <c r="AH44" s="187"/>
      <c r="AI44" s="187"/>
      <c r="AJ44" s="187"/>
      <c r="AK44" s="187"/>
      <c r="AL44" s="187"/>
      <c r="AM44" s="187"/>
      <c r="AN44" s="187"/>
      <c r="AO44" s="188"/>
      <c r="AR44" s="186"/>
      <c r="AS44" s="187"/>
      <c r="AT44" s="187"/>
      <c r="AU44" s="187"/>
      <c r="AV44" s="187"/>
      <c r="AW44" s="187"/>
      <c r="AX44" s="187"/>
      <c r="AY44" s="187"/>
      <c r="AZ44" s="187"/>
      <c r="BA44" s="187"/>
      <c r="BB44" s="187"/>
      <c r="BC44" s="187"/>
      <c r="BD44" s="187"/>
      <c r="BE44" s="187"/>
      <c r="BF44" s="188"/>
      <c r="BI44" s="186"/>
      <c r="BJ44" s="187"/>
      <c r="BK44" s="187"/>
      <c r="BL44" s="346"/>
      <c r="BM44" s="346"/>
      <c r="BN44" s="346"/>
      <c r="BO44" s="346"/>
      <c r="BP44" s="346"/>
      <c r="BQ44" s="346"/>
      <c r="BR44" s="346"/>
      <c r="BS44" s="346"/>
      <c r="BT44" s="346"/>
      <c r="BU44" s="187"/>
      <c r="BV44" s="187"/>
      <c r="BW44" s="188"/>
    </row>
    <row r="45" spans="2:75" ht="14.25" thickTop="1" thickBot="1">
      <c r="C45" s="189" t="s">
        <v>266</v>
      </c>
      <c r="D45" s="196">
        <f>D23</f>
        <v>127.757190792</v>
      </c>
      <c r="E45" s="196">
        <f t="shared" ref="E45:L45" si="19">E23</f>
        <v>127.757190792</v>
      </c>
      <c r="F45" s="196">
        <f t="shared" si="19"/>
        <v>127.757190792</v>
      </c>
      <c r="G45" s="196">
        <f t="shared" si="19"/>
        <v>65.040024403200007</v>
      </c>
      <c r="H45" s="196">
        <f t="shared" si="19"/>
        <v>65.040024403200007</v>
      </c>
      <c r="I45" s="196">
        <f t="shared" si="19"/>
        <v>65.040024403200007</v>
      </c>
      <c r="J45" s="196">
        <f t="shared" si="19"/>
        <v>106.85146866240001</v>
      </c>
      <c r="K45" s="196">
        <f t="shared" si="19"/>
        <v>106.85146866240001</v>
      </c>
      <c r="L45" s="196">
        <f t="shared" si="19"/>
        <v>106.85146866240001</v>
      </c>
      <c r="Z45" s="186"/>
      <c r="AA45" s="187"/>
      <c r="AB45" s="187"/>
      <c r="AC45" s="187"/>
      <c r="AD45" s="187"/>
      <c r="AE45" s="187"/>
      <c r="AF45" s="187"/>
      <c r="AG45" s="187"/>
      <c r="AH45" s="187"/>
      <c r="AI45" s="187"/>
      <c r="AJ45" s="187"/>
      <c r="AK45" s="187"/>
      <c r="AL45" s="187"/>
      <c r="AM45" s="187"/>
      <c r="AN45" s="187"/>
      <c r="AO45" s="188"/>
      <c r="AR45" s="186"/>
      <c r="AS45" s="187"/>
      <c r="AT45" s="187"/>
      <c r="AU45" s="187"/>
      <c r="AV45" s="187"/>
      <c r="AW45" s="187"/>
      <c r="AX45" s="187"/>
      <c r="AY45" s="187"/>
      <c r="AZ45" s="187"/>
      <c r="BA45" s="187"/>
      <c r="BB45" s="187"/>
      <c r="BC45" s="187"/>
      <c r="BD45" s="187"/>
      <c r="BE45" s="187"/>
      <c r="BF45" s="188"/>
      <c r="BI45" s="186"/>
      <c r="BJ45" s="187"/>
      <c r="BK45" s="187"/>
      <c r="BL45" s="346"/>
      <c r="BM45" s="346"/>
      <c r="BN45" s="346"/>
      <c r="BO45" s="346"/>
      <c r="BP45" s="346"/>
      <c r="BQ45" s="346"/>
      <c r="BR45" s="346"/>
      <c r="BS45" s="346"/>
      <c r="BT45" s="346"/>
      <c r="BU45" s="187"/>
      <c r="BV45" s="187"/>
      <c r="BW45" s="188"/>
    </row>
    <row r="46" spans="2:75" ht="14.25" customHeight="1" thickTop="1" thickBot="1">
      <c r="C46" s="189" t="s">
        <v>267</v>
      </c>
      <c r="D46" s="196">
        <f t="shared" ref="D46:L46" si="20">O23</f>
        <v>104.528610648</v>
      </c>
      <c r="E46" s="196">
        <f t="shared" si="20"/>
        <v>91.462534316999992</v>
      </c>
      <c r="F46" s="196">
        <f t="shared" si="20"/>
        <v>78.396457986000001</v>
      </c>
      <c r="G46" s="196">
        <f t="shared" si="20"/>
        <v>53.214565420800014</v>
      </c>
      <c r="H46" s="196">
        <f t="shared" si="20"/>
        <v>46.5627447432</v>
      </c>
      <c r="I46" s="196">
        <f t="shared" si="20"/>
        <v>39.910924065600007</v>
      </c>
      <c r="J46" s="196">
        <f t="shared" si="20"/>
        <v>87.423928905599993</v>
      </c>
      <c r="K46" s="196">
        <f t="shared" si="20"/>
        <v>76.495937792399985</v>
      </c>
      <c r="L46" s="196">
        <f t="shared" si="20"/>
        <v>65.567946679200006</v>
      </c>
      <c r="Z46" s="186"/>
      <c r="AA46" s="187"/>
      <c r="AB46" s="187"/>
      <c r="AC46" s="343" t="s">
        <v>302</v>
      </c>
      <c r="AD46" s="343"/>
      <c r="AE46" s="343"/>
      <c r="AF46" s="343"/>
      <c r="AG46" s="343"/>
      <c r="AH46" s="343"/>
      <c r="AI46" s="343"/>
      <c r="AJ46" s="343"/>
      <c r="AK46" s="343"/>
      <c r="AL46" s="187"/>
      <c r="AM46" s="187"/>
      <c r="AN46" s="187"/>
      <c r="AO46" s="188"/>
      <c r="AR46" s="186"/>
      <c r="AS46" s="187"/>
      <c r="AT46" s="187"/>
      <c r="AU46" s="187"/>
      <c r="AV46" s="187"/>
      <c r="AW46" s="187"/>
      <c r="AX46" s="187"/>
      <c r="AY46" s="187"/>
      <c r="AZ46" s="187"/>
      <c r="BA46" s="187"/>
      <c r="BB46" s="187"/>
      <c r="BC46" s="187"/>
      <c r="BD46" s="187"/>
      <c r="BE46" s="187"/>
      <c r="BF46" s="188"/>
      <c r="BI46" s="186"/>
      <c r="BJ46" s="187"/>
      <c r="BK46" s="187"/>
      <c r="BL46" s="346"/>
      <c r="BM46" s="346"/>
      <c r="BN46" s="346"/>
      <c r="BO46" s="346"/>
      <c r="BP46" s="346"/>
      <c r="BQ46" s="346"/>
      <c r="BR46" s="346"/>
      <c r="BS46" s="346"/>
      <c r="BT46" s="346"/>
      <c r="BU46" s="187"/>
      <c r="BV46" s="187"/>
      <c r="BW46" s="188"/>
    </row>
    <row r="47" spans="2:75" ht="16.5" thickTop="1" thickBot="1">
      <c r="C47" s="182" t="s">
        <v>202</v>
      </c>
      <c r="D47" s="210">
        <f>D45-D46</f>
        <v>23.228580144000006</v>
      </c>
      <c r="E47" s="210">
        <f t="shared" ref="E47:L47" si="21">E45-E46</f>
        <v>36.294656475000011</v>
      </c>
      <c r="F47" s="210">
        <f t="shared" si="21"/>
        <v>49.360732806000001</v>
      </c>
      <c r="G47" s="210">
        <f t="shared" si="21"/>
        <v>11.825458982399994</v>
      </c>
      <c r="H47" s="210">
        <f t="shared" si="21"/>
        <v>18.477279660000008</v>
      </c>
      <c r="I47" s="210">
        <f t="shared" si="21"/>
        <v>25.129100337600001</v>
      </c>
      <c r="J47" s="210">
        <f t="shared" si="21"/>
        <v>19.427539756800016</v>
      </c>
      <c r="K47" s="210">
        <f t="shared" si="21"/>
        <v>30.355530870000024</v>
      </c>
      <c r="L47" s="210">
        <f t="shared" si="21"/>
        <v>41.283521983200004</v>
      </c>
      <c r="Z47" s="186"/>
      <c r="AA47" s="187"/>
      <c r="AB47" s="187"/>
      <c r="AC47" s="343"/>
      <c r="AD47" s="343"/>
      <c r="AE47" s="343"/>
      <c r="AF47" s="343"/>
      <c r="AG47" s="343"/>
      <c r="AH47" s="343"/>
      <c r="AI47" s="343"/>
      <c r="AJ47" s="343"/>
      <c r="AK47" s="343"/>
      <c r="AL47" s="187"/>
      <c r="AM47" s="187"/>
      <c r="AN47" s="187"/>
      <c r="AO47" s="188"/>
      <c r="AR47" s="186"/>
      <c r="AS47" s="187"/>
      <c r="AT47" s="187"/>
      <c r="AU47" s="187"/>
      <c r="AV47" s="187"/>
      <c r="AW47" s="187"/>
      <c r="AX47" s="187"/>
      <c r="AY47" s="187"/>
      <c r="AZ47" s="187"/>
      <c r="BA47" s="187"/>
      <c r="BB47" s="187"/>
      <c r="BC47" s="187"/>
      <c r="BD47" s="187"/>
      <c r="BE47" s="187"/>
      <c r="BF47" s="188"/>
      <c r="BI47" s="186"/>
      <c r="BJ47" s="187"/>
      <c r="BK47" s="187"/>
      <c r="BL47" s="346"/>
      <c r="BM47" s="346"/>
      <c r="BN47" s="346"/>
      <c r="BO47" s="346"/>
      <c r="BP47" s="346"/>
      <c r="BQ47" s="346"/>
      <c r="BR47" s="346"/>
      <c r="BS47" s="346"/>
      <c r="BT47" s="346"/>
      <c r="BU47" s="187"/>
      <c r="BV47" s="187"/>
      <c r="BW47" s="188"/>
    </row>
    <row r="48" spans="2:75" ht="16.5" thickTop="1" thickBot="1">
      <c r="C48" s="182" t="s">
        <v>301</v>
      </c>
      <c r="D48" s="209">
        <f>D47/D45</f>
        <v>0.18181818181818185</v>
      </c>
      <c r="E48" s="209">
        <f t="shared" ref="E48:L48" si="22">E47/E45</f>
        <v>0.28409090909090917</v>
      </c>
      <c r="F48" s="209">
        <f t="shared" si="22"/>
        <v>0.38636363636363635</v>
      </c>
      <c r="G48" s="209">
        <f t="shared" si="22"/>
        <v>0.18181818181818171</v>
      </c>
      <c r="H48" s="209">
        <f t="shared" si="22"/>
        <v>0.28409090909090917</v>
      </c>
      <c r="I48" s="209">
        <f t="shared" si="22"/>
        <v>0.38636363636363635</v>
      </c>
      <c r="J48" s="209">
        <f t="shared" si="22"/>
        <v>0.18181818181818196</v>
      </c>
      <c r="K48" s="209">
        <f t="shared" si="22"/>
        <v>0.28409090909090928</v>
      </c>
      <c r="L48" s="209">
        <f t="shared" si="22"/>
        <v>0.38636363636363635</v>
      </c>
      <c r="Z48" s="186"/>
      <c r="AA48" s="187"/>
      <c r="AB48" s="187"/>
      <c r="AC48" s="343"/>
      <c r="AD48" s="343"/>
      <c r="AE48" s="343"/>
      <c r="AF48" s="343"/>
      <c r="AG48" s="343"/>
      <c r="AH48" s="343"/>
      <c r="AI48" s="343"/>
      <c r="AJ48" s="343"/>
      <c r="AK48" s="343"/>
      <c r="AL48" s="187"/>
      <c r="AM48" s="187"/>
      <c r="AN48" s="187"/>
      <c r="AO48" s="188"/>
      <c r="AR48" s="186"/>
      <c r="AS48" s="187"/>
      <c r="AT48" s="187"/>
      <c r="AU48" s="187"/>
      <c r="AV48" s="187"/>
      <c r="AW48" s="187"/>
      <c r="AX48" s="187"/>
      <c r="AY48" s="187"/>
      <c r="AZ48" s="187"/>
      <c r="BA48" s="187"/>
      <c r="BB48" s="187"/>
      <c r="BC48" s="187"/>
      <c r="BD48" s="187"/>
      <c r="BE48" s="187"/>
      <c r="BF48" s="188"/>
      <c r="BI48" s="186"/>
      <c r="BJ48" s="187"/>
      <c r="BK48" s="187"/>
      <c r="BL48" s="187"/>
      <c r="BM48" s="187"/>
      <c r="BN48" s="187"/>
      <c r="BO48" s="187"/>
      <c r="BP48" s="187"/>
      <c r="BQ48" s="187"/>
      <c r="BR48" s="187"/>
      <c r="BS48" s="187"/>
      <c r="BT48" s="187"/>
      <c r="BU48" s="187"/>
      <c r="BV48" s="187"/>
      <c r="BW48" s="188"/>
    </row>
    <row r="49" spans="3:75" ht="16.5" thickTop="1" thickBot="1">
      <c r="C49" s="206" t="s">
        <v>303</v>
      </c>
      <c r="D49" s="207"/>
      <c r="E49" s="207"/>
      <c r="F49" s="207"/>
      <c r="G49" s="207"/>
      <c r="H49" s="207"/>
      <c r="I49" s="207"/>
      <c r="J49" s="207"/>
      <c r="K49" s="207"/>
      <c r="L49" s="207"/>
      <c r="Z49" s="186"/>
      <c r="AA49" s="187"/>
      <c r="AB49" s="187"/>
      <c r="AC49" s="343"/>
      <c r="AD49" s="343"/>
      <c r="AE49" s="343"/>
      <c r="AF49" s="343"/>
      <c r="AG49" s="343"/>
      <c r="AH49" s="343"/>
      <c r="AI49" s="343"/>
      <c r="AJ49" s="343"/>
      <c r="AK49" s="343"/>
      <c r="AL49" s="187"/>
      <c r="AM49" s="187"/>
      <c r="AN49" s="187"/>
      <c r="AO49" s="188"/>
      <c r="AR49" s="186"/>
      <c r="AS49" s="187"/>
      <c r="AT49" s="187"/>
      <c r="AU49" s="187"/>
      <c r="AV49" s="187"/>
      <c r="AW49" s="187"/>
      <c r="AX49" s="187"/>
      <c r="AY49" s="187"/>
      <c r="AZ49" s="187"/>
      <c r="BA49" s="187"/>
      <c r="BB49" s="187"/>
      <c r="BC49" s="187"/>
      <c r="BD49" s="187"/>
      <c r="BE49" s="187"/>
      <c r="BF49" s="188"/>
      <c r="BI49" s="202"/>
      <c r="BJ49" s="203"/>
      <c r="BK49" s="203"/>
      <c r="BL49" s="203"/>
      <c r="BM49" s="203"/>
      <c r="BN49" s="203"/>
      <c r="BO49" s="203"/>
      <c r="BP49" s="203"/>
      <c r="BQ49" s="203"/>
      <c r="BR49" s="203"/>
      <c r="BS49" s="203"/>
      <c r="BT49" s="203"/>
      <c r="BU49" s="203"/>
      <c r="BV49" s="203"/>
      <c r="BW49" s="204"/>
    </row>
    <row r="50" spans="3:75" ht="14.25" thickTop="1" thickBot="1">
      <c r="C50" s="189" t="s">
        <v>266</v>
      </c>
      <c r="D50" s="191">
        <f>D25</f>
        <v>6092.0095544000005</v>
      </c>
      <c r="E50" s="191">
        <f t="shared" ref="E50:L50" si="23">E25</f>
        <v>6092.0095544000005</v>
      </c>
      <c r="F50" s="191">
        <f t="shared" si="23"/>
        <v>6092.0095544000005</v>
      </c>
      <c r="G50" s="191">
        <f t="shared" si="23"/>
        <v>3101.38668224</v>
      </c>
      <c r="H50" s="191">
        <f t="shared" si="23"/>
        <v>3101.38668224</v>
      </c>
      <c r="I50" s="191">
        <f t="shared" si="23"/>
        <v>3101.38668224</v>
      </c>
      <c r="J50" s="191">
        <f t="shared" si="23"/>
        <v>5095.1352636800002</v>
      </c>
      <c r="K50" s="191">
        <f t="shared" si="23"/>
        <v>5095.1352636800002</v>
      </c>
      <c r="L50" s="191">
        <f t="shared" si="23"/>
        <v>5095.1352636800002</v>
      </c>
      <c r="Z50" s="186"/>
      <c r="AA50" s="187"/>
      <c r="AB50" s="187"/>
      <c r="AC50" s="343"/>
      <c r="AD50" s="343"/>
      <c r="AE50" s="343"/>
      <c r="AF50" s="343"/>
      <c r="AG50" s="343"/>
      <c r="AH50" s="343"/>
      <c r="AI50" s="343"/>
      <c r="AJ50" s="343"/>
      <c r="AK50" s="343"/>
      <c r="AL50" s="187"/>
      <c r="AM50" s="187"/>
      <c r="AN50" s="187"/>
      <c r="AO50" s="188"/>
      <c r="AR50" s="186"/>
      <c r="AS50" s="187"/>
      <c r="AT50" s="187"/>
      <c r="AU50" s="187"/>
      <c r="AV50" s="187"/>
      <c r="AW50" s="187"/>
      <c r="AX50" s="187"/>
      <c r="AY50" s="187"/>
      <c r="AZ50" s="187"/>
      <c r="BA50" s="187"/>
      <c r="BB50" s="187"/>
      <c r="BC50" s="187"/>
      <c r="BD50" s="187"/>
      <c r="BE50" s="187"/>
      <c r="BF50" s="188"/>
    </row>
    <row r="51" spans="3:75" ht="14.25" thickTop="1" thickBot="1">
      <c r="C51" s="189" t="s">
        <v>267</v>
      </c>
      <c r="D51" s="191">
        <f t="shared" ref="D51:L51" si="24">O25</f>
        <v>5148.0170280000002</v>
      </c>
      <c r="E51" s="191">
        <f t="shared" si="24"/>
        <v>4585.05920565</v>
      </c>
      <c r="F51" s="191">
        <f t="shared" si="24"/>
        <v>3999.0887244000005</v>
      </c>
      <c r="G51" s="191">
        <f t="shared" si="24"/>
        <v>2620.8086688000003</v>
      </c>
      <c r="H51" s="191">
        <f t="shared" si="24"/>
        <v>2334.2119592399999</v>
      </c>
      <c r="I51" s="191">
        <f t="shared" si="24"/>
        <v>2035.8997142400003</v>
      </c>
      <c r="J51" s="191">
        <f t="shared" si="24"/>
        <v>4305.6142415999993</v>
      </c>
      <c r="K51" s="191">
        <f t="shared" si="24"/>
        <v>3834.7767901799998</v>
      </c>
      <c r="L51" s="191">
        <f t="shared" si="24"/>
        <v>3344.6923876800001</v>
      </c>
      <c r="Z51" s="186"/>
      <c r="AA51" s="187"/>
      <c r="AB51" s="187"/>
      <c r="AC51" s="187"/>
      <c r="AD51" s="187"/>
      <c r="AE51" s="187"/>
      <c r="AF51" s="187"/>
      <c r="AG51" s="187"/>
      <c r="AH51" s="187"/>
      <c r="AI51" s="187"/>
      <c r="AJ51" s="187"/>
      <c r="AK51" s="187"/>
      <c r="AL51" s="187"/>
      <c r="AM51" s="187"/>
      <c r="AN51" s="187"/>
      <c r="AO51" s="188"/>
      <c r="AR51" s="186"/>
      <c r="AS51" s="187"/>
      <c r="AT51" s="187"/>
      <c r="AU51" s="187"/>
      <c r="AV51" s="187"/>
      <c r="AW51" s="187"/>
      <c r="AX51" s="187"/>
      <c r="AY51" s="187"/>
      <c r="AZ51" s="187"/>
      <c r="BA51" s="187"/>
      <c r="BB51" s="187"/>
      <c r="BC51" s="187"/>
      <c r="BD51" s="187"/>
      <c r="BE51" s="187"/>
      <c r="BF51" s="188"/>
    </row>
    <row r="52" spans="3:75" ht="16.5" thickTop="1" thickBot="1">
      <c r="C52" s="182" t="s">
        <v>202</v>
      </c>
      <c r="D52" s="208">
        <f>D50-D51</f>
        <v>943.99252640000032</v>
      </c>
      <c r="E52" s="208">
        <f t="shared" ref="E52:L52" si="25">E50-E51</f>
        <v>1506.9503487500006</v>
      </c>
      <c r="F52" s="208">
        <f t="shared" si="25"/>
        <v>2092.92083</v>
      </c>
      <c r="G52" s="208">
        <f t="shared" si="25"/>
        <v>480.57801343999972</v>
      </c>
      <c r="H52" s="208">
        <f t="shared" si="25"/>
        <v>767.17472300000009</v>
      </c>
      <c r="I52" s="208">
        <f t="shared" si="25"/>
        <v>1065.4869679999997</v>
      </c>
      <c r="J52" s="208">
        <f t="shared" si="25"/>
        <v>789.52102208000088</v>
      </c>
      <c r="K52" s="208">
        <f t="shared" si="25"/>
        <v>1260.3584735000004</v>
      </c>
      <c r="L52" s="208">
        <f t="shared" si="25"/>
        <v>1750.4428760000001</v>
      </c>
      <c r="Z52" s="186"/>
      <c r="AA52" s="187"/>
      <c r="AB52" s="187"/>
      <c r="AC52" s="187"/>
      <c r="AD52" s="187"/>
      <c r="AE52" s="187"/>
      <c r="AF52" s="187"/>
      <c r="AG52" s="187"/>
      <c r="AH52" s="187"/>
      <c r="AI52" s="187"/>
      <c r="AJ52" s="187"/>
      <c r="AK52" s="187"/>
      <c r="AL52" s="187"/>
      <c r="AM52" s="187"/>
      <c r="AN52" s="187"/>
      <c r="AO52" s="188"/>
      <c r="AR52" s="186"/>
      <c r="AS52" s="187"/>
      <c r="AT52" s="187"/>
      <c r="AU52" s="187"/>
      <c r="AV52" s="187"/>
      <c r="AW52" s="187"/>
      <c r="AX52" s="187"/>
      <c r="AY52" s="187"/>
      <c r="AZ52" s="187"/>
      <c r="BA52" s="187"/>
      <c r="BB52" s="187"/>
      <c r="BC52" s="187"/>
      <c r="BD52" s="187"/>
      <c r="BE52" s="187"/>
      <c r="BF52" s="188"/>
    </row>
    <row r="53" spans="3:75" ht="16.5" thickTop="1" thickBot="1">
      <c r="C53" s="182" t="s">
        <v>301</v>
      </c>
      <c r="D53" s="211">
        <f>D52/D50</f>
        <v>0.15495585126228084</v>
      </c>
      <c r="E53" s="211">
        <f t="shared" ref="E53:L53" si="26">E52/E50</f>
        <v>0.24736506653401324</v>
      </c>
      <c r="F53" s="211">
        <f t="shared" si="26"/>
        <v>0.34355179704016908</v>
      </c>
      <c r="G53" s="211">
        <f t="shared" si="26"/>
        <v>0.15495585126228073</v>
      </c>
      <c r="H53" s="211">
        <f t="shared" si="26"/>
        <v>0.24736506653401322</v>
      </c>
      <c r="I53" s="211">
        <f t="shared" si="26"/>
        <v>0.34355179704016903</v>
      </c>
      <c r="J53" s="211">
        <f t="shared" si="26"/>
        <v>0.15495585126228098</v>
      </c>
      <c r="K53" s="211">
        <f t="shared" si="26"/>
        <v>0.24736506653401324</v>
      </c>
      <c r="L53" s="211">
        <f t="shared" si="26"/>
        <v>0.34355179704016914</v>
      </c>
      <c r="Z53" s="186"/>
      <c r="AA53" s="187"/>
      <c r="AB53" s="187"/>
      <c r="AC53" s="187"/>
      <c r="AD53" s="187"/>
      <c r="AE53" s="187"/>
      <c r="AF53" s="187"/>
      <c r="AG53" s="187"/>
      <c r="AH53" s="187"/>
      <c r="AI53" s="187"/>
      <c r="AJ53" s="187"/>
      <c r="AK53" s="187"/>
      <c r="AL53" s="187"/>
      <c r="AM53" s="187"/>
      <c r="AN53" s="187"/>
      <c r="AO53" s="188"/>
      <c r="AR53" s="186"/>
      <c r="AS53" s="187"/>
      <c r="AT53" s="187"/>
      <c r="AU53" s="187"/>
      <c r="AV53" s="187"/>
      <c r="AW53" s="187"/>
      <c r="AX53" s="187"/>
      <c r="AY53" s="187"/>
      <c r="AZ53" s="187"/>
      <c r="BA53" s="187"/>
      <c r="BB53" s="187"/>
      <c r="BC53" s="187"/>
      <c r="BD53" s="187"/>
      <c r="BE53" s="187"/>
      <c r="BF53" s="188"/>
    </row>
    <row r="54" spans="3:75" ht="16.5" thickTop="1" thickBot="1">
      <c r="C54" s="206" t="s">
        <v>304</v>
      </c>
      <c r="D54" s="207"/>
      <c r="E54" s="207"/>
      <c r="F54" s="207"/>
      <c r="G54" s="207"/>
      <c r="H54" s="207"/>
      <c r="I54" s="207"/>
      <c r="J54" s="207"/>
      <c r="K54" s="207"/>
      <c r="L54" s="207"/>
      <c r="Z54" s="186"/>
      <c r="AA54" s="187"/>
      <c r="AB54" s="187"/>
      <c r="AC54" s="187"/>
      <c r="AD54" s="187"/>
      <c r="AE54" s="187"/>
      <c r="AF54" s="187"/>
      <c r="AG54" s="187"/>
      <c r="AH54" s="187"/>
      <c r="AI54" s="187"/>
      <c r="AJ54" s="187"/>
      <c r="AK54" s="187"/>
      <c r="AL54" s="187"/>
      <c r="AM54" s="187"/>
      <c r="AN54" s="187"/>
      <c r="AO54" s="188"/>
      <c r="AR54" s="186"/>
      <c r="AS54" s="187"/>
      <c r="AT54" s="187"/>
      <c r="AU54" s="187"/>
      <c r="AV54" s="187"/>
      <c r="AW54" s="187"/>
      <c r="AX54" s="187"/>
      <c r="AY54" s="187"/>
      <c r="AZ54" s="187"/>
      <c r="BA54" s="187"/>
      <c r="BB54" s="187"/>
      <c r="BC54" s="187"/>
      <c r="BD54" s="187"/>
      <c r="BE54" s="187"/>
      <c r="BF54" s="188"/>
    </row>
    <row r="55" spans="3:75" ht="14.25" thickTop="1" thickBot="1">
      <c r="C55" s="189" t="s">
        <v>266</v>
      </c>
      <c r="D55" s="191">
        <f>D26</f>
        <v>456900.71658000007</v>
      </c>
      <c r="E55" s="191">
        <f t="shared" ref="E55:L55" si="27">E26</f>
        <v>456900.71658000007</v>
      </c>
      <c r="F55" s="191">
        <f t="shared" si="27"/>
        <v>456900.71658000007</v>
      </c>
      <c r="G55" s="191">
        <f t="shared" si="27"/>
        <v>232604.00116799999</v>
      </c>
      <c r="H55" s="191">
        <f t="shared" si="27"/>
        <v>232604.00116799999</v>
      </c>
      <c r="I55" s="191">
        <f t="shared" si="27"/>
        <v>232604.00116799999</v>
      </c>
      <c r="J55" s="191">
        <f t="shared" si="27"/>
        <v>382135.144776</v>
      </c>
      <c r="K55" s="191">
        <f t="shared" si="27"/>
        <v>382135.144776</v>
      </c>
      <c r="L55" s="191">
        <f t="shared" si="27"/>
        <v>382135.144776</v>
      </c>
      <c r="Z55" s="186"/>
      <c r="AA55" s="187"/>
      <c r="AB55" s="187"/>
      <c r="AC55" s="187"/>
      <c r="AD55" s="187"/>
      <c r="AE55" s="187"/>
      <c r="AF55" s="187"/>
      <c r="AG55" s="187"/>
      <c r="AH55" s="187"/>
      <c r="AI55" s="187"/>
      <c r="AJ55" s="187"/>
      <c r="AK55" s="187"/>
      <c r="AL55" s="187"/>
      <c r="AM55" s="187"/>
      <c r="AN55" s="187"/>
      <c r="AO55" s="188"/>
      <c r="AR55" s="186"/>
      <c r="AS55" s="187"/>
      <c r="AT55" s="187"/>
      <c r="AU55" s="187"/>
      <c r="AV55" s="187"/>
      <c r="AW55" s="187"/>
      <c r="AX55" s="187"/>
      <c r="AY55" s="187"/>
      <c r="AZ55" s="187"/>
      <c r="BA55" s="187"/>
      <c r="BB55" s="187"/>
      <c r="BC55" s="187"/>
      <c r="BD55" s="187"/>
      <c r="BE55" s="187"/>
      <c r="BF55" s="188"/>
    </row>
    <row r="56" spans="3:75" ht="14.25" thickTop="1" thickBot="1">
      <c r="C56" s="189" t="s">
        <v>267</v>
      </c>
      <c r="D56" s="191">
        <f t="shared" ref="D56:L56" si="28">O26</f>
        <v>386101.27710000001</v>
      </c>
      <c r="E56" s="191">
        <f t="shared" si="28"/>
        <v>343879.44042374997</v>
      </c>
      <c r="F56" s="191">
        <f t="shared" si="28"/>
        <v>299931.65433000005</v>
      </c>
      <c r="G56" s="191">
        <f t="shared" si="28"/>
        <v>196560.65016000002</v>
      </c>
      <c r="H56" s="191">
        <f t="shared" si="28"/>
        <v>175065.896943</v>
      </c>
      <c r="I56" s="191">
        <f t="shared" si="28"/>
        <v>152692.47856800002</v>
      </c>
      <c r="J56" s="191">
        <f t="shared" si="28"/>
        <v>322921.06811999995</v>
      </c>
      <c r="K56" s="191">
        <f t="shared" si="28"/>
        <v>287608.25926349999</v>
      </c>
      <c r="L56" s="191">
        <f t="shared" si="28"/>
        <v>250851.929076</v>
      </c>
      <c r="Z56" s="186"/>
      <c r="AA56" s="187"/>
      <c r="AB56" s="187"/>
      <c r="AC56" s="187"/>
      <c r="AD56" s="187"/>
      <c r="AE56" s="187"/>
      <c r="AF56" s="187"/>
      <c r="AG56" s="187"/>
      <c r="AH56" s="187"/>
      <c r="AI56" s="187"/>
      <c r="AJ56" s="187"/>
      <c r="AK56" s="187"/>
      <c r="AL56" s="187"/>
      <c r="AM56" s="187"/>
      <c r="AN56" s="187"/>
      <c r="AO56" s="188"/>
      <c r="AR56" s="186"/>
      <c r="AS56" s="187"/>
      <c r="AT56" s="187"/>
      <c r="AU56" s="187"/>
      <c r="AV56" s="187"/>
      <c r="AW56" s="187"/>
      <c r="AX56" s="187"/>
      <c r="AY56" s="187"/>
      <c r="AZ56" s="187"/>
      <c r="BA56" s="187"/>
      <c r="BB56" s="187"/>
      <c r="BC56" s="187"/>
      <c r="BD56" s="187"/>
      <c r="BE56" s="187"/>
      <c r="BF56" s="188"/>
    </row>
    <row r="57" spans="3:75" ht="16.5" thickTop="1" thickBot="1">
      <c r="C57" s="182" t="s">
        <v>202</v>
      </c>
      <c r="D57" s="208">
        <f>D55-D56</f>
        <v>70799.439480000059</v>
      </c>
      <c r="E57" s="208">
        <f t="shared" ref="E57:L57" si="29">E55-E56</f>
        <v>113021.2761562501</v>
      </c>
      <c r="F57" s="208">
        <f t="shared" si="29"/>
        <v>156969.06225000002</v>
      </c>
      <c r="G57" s="208">
        <f t="shared" si="29"/>
        <v>36043.351007999969</v>
      </c>
      <c r="H57" s="208">
        <f t="shared" si="29"/>
        <v>57538.104224999988</v>
      </c>
      <c r="I57" s="208">
        <f t="shared" si="29"/>
        <v>79911.522599999967</v>
      </c>
      <c r="J57" s="208">
        <f t="shared" si="29"/>
        <v>59214.076656000048</v>
      </c>
      <c r="K57" s="208">
        <f t="shared" si="29"/>
        <v>94526.885512500012</v>
      </c>
      <c r="L57" s="208">
        <f t="shared" si="29"/>
        <v>131283.2157</v>
      </c>
      <c r="Z57" s="186"/>
      <c r="AA57" s="187"/>
      <c r="AB57" s="187"/>
      <c r="AC57" s="187"/>
      <c r="AD57" s="187"/>
      <c r="AE57" s="187"/>
      <c r="AF57" s="187"/>
      <c r="AG57" s="187"/>
      <c r="AH57" s="187"/>
      <c r="AI57" s="187"/>
      <c r="AJ57" s="187"/>
      <c r="AK57" s="187"/>
      <c r="AL57" s="187"/>
      <c r="AM57" s="187"/>
      <c r="AN57" s="187"/>
      <c r="AO57" s="188"/>
      <c r="AR57" s="186"/>
      <c r="AS57" s="187"/>
      <c r="AT57" s="187"/>
      <c r="AU57" s="187"/>
      <c r="AV57" s="187"/>
      <c r="AW57" s="187"/>
      <c r="AX57" s="187"/>
      <c r="AY57" s="187"/>
      <c r="AZ57" s="187"/>
      <c r="BA57" s="187"/>
      <c r="BB57" s="187"/>
      <c r="BC57" s="187"/>
      <c r="BD57" s="187"/>
      <c r="BE57" s="187"/>
      <c r="BF57" s="188"/>
    </row>
    <row r="58" spans="3:75" ht="16.5" thickTop="1" thickBot="1">
      <c r="C58" s="182" t="s">
        <v>301</v>
      </c>
      <c r="D58" s="211">
        <f>D57/D55</f>
        <v>0.15495585126228092</v>
      </c>
      <c r="E58" s="211">
        <f t="shared" ref="E58:L58" si="30">E57/E55</f>
        <v>0.24736506653401336</v>
      </c>
      <c r="F58" s="211">
        <f t="shared" si="30"/>
        <v>0.34355179704016914</v>
      </c>
      <c r="G58" s="211">
        <f t="shared" si="30"/>
        <v>0.15495585126228067</v>
      </c>
      <c r="H58" s="211">
        <f t="shared" si="30"/>
        <v>0.24736506653401313</v>
      </c>
      <c r="I58" s="211">
        <f t="shared" si="30"/>
        <v>0.34355179704016903</v>
      </c>
      <c r="J58" s="211">
        <f t="shared" si="30"/>
        <v>0.15495585126228092</v>
      </c>
      <c r="K58" s="211">
        <f t="shared" si="30"/>
        <v>0.24736506653401322</v>
      </c>
      <c r="L58" s="211">
        <f t="shared" si="30"/>
        <v>0.34355179704016914</v>
      </c>
      <c r="Z58" s="186"/>
      <c r="AA58" s="187"/>
      <c r="AB58" s="187"/>
      <c r="AC58" s="187"/>
      <c r="AD58" s="187"/>
      <c r="AE58" s="187"/>
      <c r="AF58" s="187"/>
      <c r="AG58" s="187"/>
      <c r="AH58" s="187"/>
      <c r="AI58" s="187"/>
      <c r="AJ58" s="187"/>
      <c r="AK58" s="187"/>
      <c r="AL58" s="187"/>
      <c r="AM58" s="187"/>
      <c r="AN58" s="187"/>
      <c r="AO58" s="188"/>
      <c r="AR58" s="186"/>
      <c r="AS58" s="187"/>
      <c r="AT58" s="187"/>
      <c r="AU58" s="187"/>
      <c r="AV58" s="187"/>
      <c r="AW58" s="187"/>
      <c r="AX58" s="187"/>
      <c r="AY58" s="187"/>
      <c r="AZ58" s="187"/>
      <c r="BA58" s="187"/>
      <c r="BB58" s="187"/>
      <c r="BC58" s="187"/>
      <c r="BD58" s="187"/>
      <c r="BE58" s="187"/>
      <c r="BF58" s="188"/>
    </row>
    <row r="59" spans="3:75" ht="31.5" thickTop="1" thickBot="1">
      <c r="C59" s="206" t="s">
        <v>305</v>
      </c>
      <c r="D59" s="207"/>
      <c r="E59" s="207"/>
      <c r="F59" s="207"/>
      <c r="G59" s="207"/>
      <c r="H59" s="207"/>
      <c r="I59" s="207"/>
      <c r="J59" s="207"/>
      <c r="K59" s="207"/>
      <c r="L59" s="207"/>
      <c r="Z59" s="186"/>
      <c r="AA59" s="187"/>
      <c r="AB59" s="187"/>
      <c r="AC59" s="187"/>
      <c r="AD59" s="187"/>
      <c r="AE59" s="187"/>
      <c r="AF59" s="187"/>
      <c r="AG59" s="187"/>
      <c r="AH59" s="187"/>
      <c r="AI59" s="187"/>
      <c r="AJ59" s="187"/>
      <c r="AK59" s="187"/>
      <c r="AL59" s="187"/>
      <c r="AM59" s="187"/>
      <c r="AN59" s="187"/>
      <c r="AO59" s="188"/>
      <c r="AR59" s="186"/>
      <c r="AS59" s="187"/>
      <c r="AT59" s="187"/>
      <c r="AU59" s="187"/>
      <c r="AV59" s="187"/>
      <c r="AW59" s="187"/>
      <c r="AX59" s="187"/>
      <c r="AY59" s="187"/>
      <c r="AZ59" s="187"/>
      <c r="BA59" s="187"/>
      <c r="BB59" s="187"/>
      <c r="BC59" s="187"/>
      <c r="BD59" s="187"/>
      <c r="BE59" s="187"/>
      <c r="BF59" s="188"/>
    </row>
    <row r="60" spans="3:75" ht="14.25" thickTop="1" thickBot="1">
      <c r="C60" s="189" t="s">
        <v>266</v>
      </c>
      <c r="D60" s="191">
        <f>D28</f>
        <v>1139.2772745400202</v>
      </c>
      <c r="E60" s="191">
        <f t="shared" ref="E60:L60" si="31">E28</f>
        <v>1139.2772745400202</v>
      </c>
      <c r="F60" s="191">
        <f t="shared" si="31"/>
        <v>1139.2772745400202</v>
      </c>
      <c r="G60" s="191">
        <f t="shared" si="31"/>
        <v>579.99570340219202</v>
      </c>
      <c r="H60" s="191">
        <f t="shared" si="31"/>
        <v>579.99570340219202</v>
      </c>
      <c r="I60" s="191">
        <f t="shared" si="31"/>
        <v>579.99570340219202</v>
      </c>
      <c r="J60" s="191">
        <f t="shared" si="31"/>
        <v>952.85008416074402</v>
      </c>
      <c r="K60" s="191">
        <f t="shared" si="31"/>
        <v>952.85008416074402</v>
      </c>
      <c r="L60" s="191">
        <f t="shared" si="31"/>
        <v>952.85008416074402</v>
      </c>
      <c r="Z60" s="186"/>
      <c r="AA60" s="187"/>
      <c r="AB60" s="187"/>
      <c r="AC60" s="187"/>
      <c r="AD60" s="187"/>
      <c r="AE60" s="187"/>
      <c r="AF60" s="187"/>
      <c r="AG60" s="187"/>
      <c r="AH60" s="187"/>
      <c r="AI60" s="187"/>
      <c r="AJ60" s="187"/>
      <c r="AK60" s="187"/>
      <c r="AL60" s="187"/>
      <c r="AM60" s="187"/>
      <c r="AN60" s="187"/>
      <c r="AO60" s="188"/>
      <c r="AR60" s="186"/>
      <c r="AS60" s="187"/>
      <c r="AT60" s="187"/>
      <c r="AU60" s="187"/>
      <c r="AV60" s="187"/>
      <c r="AW60" s="187"/>
      <c r="AX60" s="187"/>
      <c r="AY60" s="187"/>
      <c r="AZ60" s="187"/>
      <c r="BA60" s="187"/>
      <c r="BB60" s="187"/>
      <c r="BC60" s="187"/>
      <c r="BD60" s="187"/>
      <c r="BE60" s="187"/>
      <c r="BF60" s="188"/>
    </row>
    <row r="61" spans="3:75" ht="14.25" thickTop="1" thickBot="1">
      <c r="C61" s="189" t="s">
        <v>267</v>
      </c>
      <c r="D61" s="191">
        <f t="shared" ref="D61:L61" si="32">O28</f>
        <v>962.73959463990002</v>
      </c>
      <c r="E61" s="191">
        <f t="shared" si="32"/>
        <v>857.45987572273873</v>
      </c>
      <c r="F61" s="191">
        <f t="shared" si="32"/>
        <v>747.87651954477019</v>
      </c>
      <c r="G61" s="191">
        <f t="shared" si="32"/>
        <v>490.12197545304008</v>
      </c>
      <c r="H61" s="191">
        <f t="shared" si="32"/>
        <v>436.52502764066702</v>
      </c>
      <c r="I61" s="191">
        <f t="shared" si="32"/>
        <v>380.73713722279206</v>
      </c>
      <c r="J61" s="191">
        <f t="shared" si="32"/>
        <v>805.20038824427991</v>
      </c>
      <c r="K61" s="191">
        <f t="shared" si="32"/>
        <v>717.14825969538151</v>
      </c>
      <c r="L61" s="191">
        <f t="shared" si="32"/>
        <v>625.49672543744407</v>
      </c>
      <c r="Z61" s="202"/>
      <c r="AA61" s="203"/>
      <c r="AB61" s="203"/>
      <c r="AC61" s="203"/>
      <c r="AD61" s="203"/>
      <c r="AE61" s="203"/>
      <c r="AF61" s="203"/>
      <c r="AG61" s="203"/>
      <c r="AH61" s="203"/>
      <c r="AI61" s="203"/>
      <c r="AJ61" s="203"/>
      <c r="AK61" s="203"/>
      <c r="AL61" s="203"/>
      <c r="AM61" s="203"/>
      <c r="AN61" s="203"/>
      <c r="AO61" s="204"/>
      <c r="AR61" s="186"/>
      <c r="AS61" s="187"/>
      <c r="AT61" s="187"/>
      <c r="AU61" s="187"/>
      <c r="AV61" s="187"/>
      <c r="AW61" s="187"/>
      <c r="AX61" s="187"/>
      <c r="AY61" s="187"/>
      <c r="AZ61" s="187"/>
      <c r="BA61" s="187"/>
      <c r="BB61" s="187"/>
      <c r="BC61" s="187"/>
      <c r="BD61" s="187"/>
      <c r="BE61" s="187"/>
      <c r="BF61" s="188"/>
    </row>
    <row r="62" spans="3:75" ht="16.5" thickTop="1" thickBot="1">
      <c r="C62" s="182" t="s">
        <v>202</v>
      </c>
      <c r="D62" s="208">
        <f>D60-D61</f>
        <v>176.53767990012022</v>
      </c>
      <c r="E62" s="208">
        <f t="shared" ref="E62:L62" si="33">E60-E61</f>
        <v>281.81739881728151</v>
      </c>
      <c r="F62" s="208">
        <f t="shared" si="33"/>
        <v>391.40075499525005</v>
      </c>
      <c r="G62" s="208">
        <f t="shared" si="33"/>
        <v>89.873727949151942</v>
      </c>
      <c r="H62" s="208">
        <f t="shared" si="33"/>
        <v>143.470675761525</v>
      </c>
      <c r="I62" s="208">
        <f t="shared" si="33"/>
        <v>199.25856617939996</v>
      </c>
      <c r="J62" s="208">
        <f t="shared" si="33"/>
        <v>147.64969591646411</v>
      </c>
      <c r="K62" s="208">
        <f t="shared" si="33"/>
        <v>235.70182446536251</v>
      </c>
      <c r="L62" s="208">
        <f t="shared" si="33"/>
        <v>327.35335872329995</v>
      </c>
      <c r="AR62" s="186"/>
      <c r="AS62" s="187"/>
      <c r="AT62" s="187"/>
      <c r="AU62" s="187"/>
      <c r="AV62" s="187"/>
      <c r="AW62" s="187"/>
      <c r="AX62" s="187"/>
      <c r="AY62" s="187"/>
      <c r="AZ62" s="187"/>
      <c r="BA62" s="187"/>
      <c r="BB62" s="187"/>
      <c r="BC62" s="187"/>
      <c r="BD62" s="187"/>
      <c r="BE62" s="187"/>
      <c r="BF62" s="188"/>
    </row>
    <row r="63" spans="3:75" ht="16.5" thickTop="1" thickBot="1">
      <c r="C63" s="182" t="s">
        <v>301</v>
      </c>
      <c r="D63" s="209">
        <f>D62/D60</f>
        <v>0.15495585126228098</v>
      </c>
      <c r="E63" s="209">
        <f t="shared" ref="E63:L63" si="34">E62/E60</f>
        <v>0.24736506653401336</v>
      </c>
      <c r="F63" s="209">
        <f t="shared" si="34"/>
        <v>0.34355179704016908</v>
      </c>
      <c r="G63" s="209">
        <f t="shared" si="34"/>
        <v>0.1549558512622807</v>
      </c>
      <c r="H63" s="209">
        <f t="shared" si="34"/>
        <v>0.24736506653401319</v>
      </c>
      <c r="I63" s="209">
        <f t="shared" si="34"/>
        <v>0.34355179704016908</v>
      </c>
      <c r="J63" s="209">
        <f t="shared" si="34"/>
        <v>0.15495585126228092</v>
      </c>
      <c r="K63" s="209">
        <f t="shared" si="34"/>
        <v>0.24736506653401319</v>
      </c>
      <c r="L63" s="209">
        <f t="shared" si="34"/>
        <v>0.34355179704016908</v>
      </c>
      <c r="AR63" s="186"/>
      <c r="AS63" s="187"/>
      <c r="AT63" s="187"/>
      <c r="AU63" s="187"/>
      <c r="AV63" s="187"/>
      <c r="AW63" s="187"/>
      <c r="AX63" s="187"/>
      <c r="AY63" s="187"/>
      <c r="AZ63" s="187"/>
      <c r="BA63" s="187"/>
      <c r="BB63" s="187"/>
      <c r="BC63" s="187"/>
      <c r="BD63" s="187"/>
      <c r="BE63" s="187"/>
      <c r="BF63" s="188"/>
    </row>
    <row r="64" spans="3:75" ht="31.5" thickTop="1" thickBot="1">
      <c r="C64" s="206" t="s">
        <v>306</v>
      </c>
      <c r="D64" s="207"/>
      <c r="E64" s="207"/>
      <c r="F64" s="207"/>
      <c r="G64" s="207"/>
      <c r="H64" s="207"/>
      <c r="I64" s="207"/>
      <c r="J64" s="207"/>
      <c r="K64" s="207"/>
      <c r="L64" s="207"/>
      <c r="AR64" s="186"/>
      <c r="AS64" s="187"/>
      <c r="AT64" s="187"/>
      <c r="AU64" s="187"/>
      <c r="AV64" s="187"/>
      <c r="AW64" s="187"/>
      <c r="AX64" s="187"/>
      <c r="AY64" s="187"/>
      <c r="AZ64" s="187"/>
      <c r="BA64" s="187"/>
      <c r="BB64" s="187"/>
      <c r="BC64" s="187"/>
      <c r="BD64" s="187"/>
      <c r="BE64" s="187"/>
      <c r="BF64" s="188"/>
    </row>
    <row r="65" spans="3:58" ht="14.25" thickTop="1" thickBot="1">
      <c r="C65" s="189" t="s">
        <v>266</v>
      </c>
      <c r="D65" s="201">
        <f>D30</f>
        <v>50.807359683696006</v>
      </c>
      <c r="E65" s="201">
        <f t="shared" ref="E65:L65" si="35">E30</f>
        <v>50.807359683696006</v>
      </c>
      <c r="F65" s="201">
        <f t="shared" si="35"/>
        <v>50.807359683696006</v>
      </c>
      <c r="G65" s="201">
        <f t="shared" si="35"/>
        <v>25.865564929881597</v>
      </c>
      <c r="H65" s="201">
        <f t="shared" si="35"/>
        <v>25.865564929881597</v>
      </c>
      <c r="I65" s="201">
        <f t="shared" si="35"/>
        <v>25.865564929881597</v>
      </c>
      <c r="J65" s="201">
        <f t="shared" si="35"/>
        <v>42.493428099091197</v>
      </c>
      <c r="K65" s="201">
        <f t="shared" si="35"/>
        <v>42.493428099091197</v>
      </c>
      <c r="L65" s="201">
        <f t="shared" si="35"/>
        <v>42.493428099091197</v>
      </c>
      <c r="AR65" s="186"/>
      <c r="AS65" s="187"/>
      <c r="AT65" s="187"/>
      <c r="AU65" s="187"/>
      <c r="AV65" s="187"/>
      <c r="AW65" s="187"/>
      <c r="AX65" s="187"/>
      <c r="AY65" s="187"/>
      <c r="AZ65" s="187"/>
      <c r="BA65" s="187"/>
      <c r="BB65" s="187"/>
      <c r="BC65" s="187"/>
      <c r="BD65" s="187"/>
      <c r="BE65" s="187"/>
      <c r="BF65" s="188"/>
    </row>
    <row r="66" spans="3:58" ht="14.25" thickTop="1" thickBot="1">
      <c r="C66" s="189" t="s">
        <v>267</v>
      </c>
      <c r="D66" s="201">
        <f t="shared" ref="D66:L66" si="36">O30</f>
        <v>42.934462013519997</v>
      </c>
      <c r="E66" s="201">
        <f t="shared" si="36"/>
        <v>38.239393775120995</v>
      </c>
      <c r="F66" s="201">
        <f t="shared" si="36"/>
        <v>33.352399961496005</v>
      </c>
      <c r="G66" s="201">
        <f t="shared" si="36"/>
        <v>21.857544297792</v>
      </c>
      <c r="H66" s="201">
        <f t="shared" si="36"/>
        <v>19.467327740061599</v>
      </c>
      <c r="I66" s="201">
        <f t="shared" si="36"/>
        <v>16.979403616761601</v>
      </c>
      <c r="J66" s="201">
        <f t="shared" si="36"/>
        <v>35.908822774943992</v>
      </c>
      <c r="K66" s="201">
        <f t="shared" si="36"/>
        <v>31.982038430101195</v>
      </c>
      <c r="L66" s="201">
        <f t="shared" si="36"/>
        <v>27.894734513251198</v>
      </c>
      <c r="AR66" s="186"/>
      <c r="AS66" s="187"/>
      <c r="AT66" s="187"/>
      <c r="AU66" s="187"/>
      <c r="AV66" s="187"/>
      <c r="AW66" s="187"/>
      <c r="AX66" s="187"/>
      <c r="AY66" s="187"/>
      <c r="AZ66" s="187"/>
      <c r="BA66" s="187"/>
      <c r="BB66" s="187"/>
      <c r="BC66" s="187"/>
      <c r="BD66" s="187"/>
      <c r="BE66" s="187"/>
      <c r="BF66" s="188"/>
    </row>
    <row r="67" spans="3:58" ht="16.5" customHeight="1" thickTop="1" thickBot="1">
      <c r="C67" s="182" t="s">
        <v>202</v>
      </c>
      <c r="D67" s="212">
        <f>D65-D66</f>
        <v>7.8728976701760089</v>
      </c>
      <c r="E67" s="212">
        <f t="shared" ref="E67:L67" si="37">E65-E66</f>
        <v>12.567965908575012</v>
      </c>
      <c r="F67" s="212">
        <f t="shared" si="37"/>
        <v>17.454959722200002</v>
      </c>
      <c r="G67" s="212">
        <f t="shared" si="37"/>
        <v>4.0080206320895968</v>
      </c>
      <c r="H67" s="212">
        <f t="shared" si="37"/>
        <v>6.3982371898199979</v>
      </c>
      <c r="I67" s="212">
        <f t="shared" si="37"/>
        <v>8.8861613131199952</v>
      </c>
      <c r="J67" s="212">
        <f t="shared" si="37"/>
        <v>6.5846053241472049</v>
      </c>
      <c r="K67" s="212">
        <f t="shared" si="37"/>
        <v>10.511389668990002</v>
      </c>
      <c r="L67" s="212">
        <f t="shared" si="37"/>
        <v>14.59869358584</v>
      </c>
      <c r="AR67" s="186"/>
      <c r="AS67" s="187"/>
      <c r="AT67" s="187"/>
      <c r="AU67" s="343" t="s">
        <v>307</v>
      </c>
      <c r="AV67" s="343"/>
      <c r="AW67" s="343"/>
      <c r="AX67" s="343"/>
      <c r="AY67" s="343"/>
      <c r="AZ67" s="343"/>
      <c r="BA67" s="343"/>
      <c r="BB67" s="343"/>
      <c r="BC67" s="343"/>
      <c r="BD67" s="343"/>
      <c r="BE67" s="187"/>
      <c r="BF67" s="188"/>
    </row>
    <row r="68" spans="3:58" ht="16.5" thickTop="1" thickBot="1">
      <c r="C68" s="182" t="s">
        <v>301</v>
      </c>
      <c r="D68" s="209">
        <f>D67/D65</f>
        <v>0.15495585126228098</v>
      </c>
      <c r="E68" s="209">
        <f t="shared" ref="E68:L68" si="38">E67/E65</f>
        <v>0.24736506653401338</v>
      </c>
      <c r="F68" s="209">
        <f t="shared" si="38"/>
        <v>0.34355179704016914</v>
      </c>
      <c r="G68" s="209">
        <f t="shared" si="38"/>
        <v>0.1549558512622807</v>
      </c>
      <c r="H68" s="209">
        <f t="shared" si="38"/>
        <v>0.24736506653401313</v>
      </c>
      <c r="I68" s="209">
        <f t="shared" si="38"/>
        <v>0.34355179704016897</v>
      </c>
      <c r="J68" s="209">
        <f t="shared" si="38"/>
        <v>0.15495585126228092</v>
      </c>
      <c r="K68" s="209">
        <f t="shared" si="38"/>
        <v>0.24736506653401324</v>
      </c>
      <c r="L68" s="209">
        <f t="shared" si="38"/>
        <v>0.34355179704016914</v>
      </c>
      <c r="AR68" s="186"/>
      <c r="AS68" s="187"/>
      <c r="AT68" s="187"/>
      <c r="AU68" s="343"/>
      <c r="AV68" s="343"/>
      <c r="AW68" s="343"/>
      <c r="AX68" s="343"/>
      <c r="AY68" s="343"/>
      <c r="AZ68" s="343"/>
      <c r="BA68" s="343"/>
      <c r="BB68" s="343"/>
      <c r="BC68" s="343"/>
      <c r="BD68" s="343"/>
      <c r="BE68" s="187"/>
      <c r="BF68" s="188"/>
    </row>
    <row r="69" spans="3:58" ht="31.5" customHeight="1" thickTop="1" thickBot="1">
      <c r="C69" s="206" t="s">
        <v>308</v>
      </c>
      <c r="D69" s="207"/>
      <c r="E69" s="207"/>
      <c r="F69" s="207"/>
      <c r="G69" s="207"/>
      <c r="H69" s="207"/>
      <c r="I69" s="207"/>
      <c r="J69" s="207"/>
      <c r="K69" s="207"/>
      <c r="L69" s="207"/>
      <c r="AR69" s="186"/>
      <c r="AS69" s="187"/>
      <c r="AT69" s="187"/>
      <c r="AU69" s="343"/>
      <c r="AV69" s="343"/>
      <c r="AW69" s="343"/>
      <c r="AX69" s="343"/>
      <c r="AY69" s="343"/>
      <c r="AZ69" s="343"/>
      <c r="BA69" s="343"/>
      <c r="BB69" s="343"/>
      <c r="BC69" s="343"/>
      <c r="BD69" s="343"/>
      <c r="BE69" s="187"/>
      <c r="BF69" s="188"/>
    </row>
    <row r="70" spans="3:58" ht="14.25" thickTop="1" thickBot="1">
      <c r="C70" s="189" t="s">
        <v>266</v>
      </c>
      <c r="D70" s="191">
        <f>D32</f>
        <v>1012.817497066078</v>
      </c>
      <c r="E70" s="191">
        <f t="shared" ref="E70:L70" si="39">E32</f>
        <v>1012.817497066078</v>
      </c>
      <c r="F70" s="191">
        <f t="shared" si="39"/>
        <v>1012.817497066078</v>
      </c>
      <c r="G70" s="191">
        <f t="shared" si="39"/>
        <v>515.61618032454874</v>
      </c>
      <c r="H70" s="191">
        <f t="shared" si="39"/>
        <v>515.61618032454874</v>
      </c>
      <c r="I70" s="191">
        <f t="shared" si="39"/>
        <v>515.61618032454874</v>
      </c>
      <c r="J70" s="191">
        <f t="shared" si="39"/>
        <v>847.08372481890149</v>
      </c>
      <c r="K70" s="191">
        <f t="shared" si="39"/>
        <v>847.08372481890149</v>
      </c>
      <c r="L70" s="191">
        <f t="shared" si="39"/>
        <v>847.08372481890149</v>
      </c>
      <c r="AR70" s="186"/>
      <c r="AS70" s="187"/>
      <c r="AT70" s="187"/>
      <c r="AU70" s="343"/>
      <c r="AV70" s="343"/>
      <c r="AW70" s="343"/>
      <c r="AX70" s="343"/>
      <c r="AY70" s="343"/>
      <c r="AZ70" s="343"/>
      <c r="BA70" s="343"/>
      <c r="BB70" s="343"/>
      <c r="BC70" s="343"/>
      <c r="BD70" s="343"/>
      <c r="BE70" s="187"/>
      <c r="BF70" s="188"/>
    </row>
    <row r="71" spans="3:58" ht="14.25" thickTop="1" thickBot="1">
      <c r="C71" s="189" t="s">
        <v>267</v>
      </c>
      <c r="D71" s="191">
        <f t="shared" ref="D71:L71" si="40">O32</f>
        <v>855.87549963487118</v>
      </c>
      <c r="E71" s="191">
        <f t="shared" si="40"/>
        <v>762.28182951751478</v>
      </c>
      <c r="F71" s="191">
        <f t="shared" si="40"/>
        <v>664.86222587530074</v>
      </c>
      <c r="G71" s="191">
        <f t="shared" si="40"/>
        <v>435.71843617775266</v>
      </c>
      <c r="H71" s="191">
        <f t="shared" si="40"/>
        <v>388.07074957255298</v>
      </c>
      <c r="I71" s="191">
        <f t="shared" si="40"/>
        <v>338.47531499106213</v>
      </c>
      <c r="J71" s="191">
        <f t="shared" si="40"/>
        <v>715.82314514916482</v>
      </c>
      <c r="K71" s="191">
        <f t="shared" si="40"/>
        <v>637.5448028691942</v>
      </c>
      <c r="L71" s="191">
        <f t="shared" si="40"/>
        <v>556.06658891388781</v>
      </c>
      <c r="AR71" s="186"/>
      <c r="AS71" s="187"/>
      <c r="AT71" s="187"/>
      <c r="AU71" s="343"/>
      <c r="AV71" s="343"/>
      <c r="AW71" s="343"/>
      <c r="AX71" s="343"/>
      <c r="AY71" s="343"/>
      <c r="AZ71" s="343"/>
      <c r="BA71" s="343"/>
      <c r="BB71" s="343"/>
      <c r="BC71" s="343"/>
      <c r="BD71" s="343"/>
      <c r="BE71" s="187"/>
      <c r="BF71" s="188"/>
    </row>
    <row r="72" spans="3:58" ht="16.5" thickTop="1" thickBot="1">
      <c r="C72" s="182" t="s">
        <v>202</v>
      </c>
      <c r="D72" s="208">
        <f>D70-D71</f>
        <v>156.9419974312068</v>
      </c>
      <c r="E72" s="208">
        <f t="shared" ref="E72:L72" si="41">E70-E71</f>
        <v>250.5356675485632</v>
      </c>
      <c r="F72" s="208">
        <f t="shared" si="41"/>
        <v>347.95527119077724</v>
      </c>
      <c r="G72" s="208">
        <f t="shared" si="41"/>
        <v>79.897744146796072</v>
      </c>
      <c r="H72" s="208">
        <f t="shared" si="41"/>
        <v>127.54543075199575</v>
      </c>
      <c r="I72" s="208">
        <f t="shared" si="41"/>
        <v>177.1408653334866</v>
      </c>
      <c r="J72" s="208">
        <f t="shared" si="41"/>
        <v>131.26057966973667</v>
      </c>
      <c r="K72" s="208">
        <f t="shared" si="41"/>
        <v>209.53892194970729</v>
      </c>
      <c r="L72" s="208">
        <f t="shared" si="41"/>
        <v>291.01713590501367</v>
      </c>
      <c r="AR72" s="186"/>
      <c r="AS72" s="187"/>
      <c r="AT72" s="187"/>
      <c r="AU72" s="343"/>
      <c r="AV72" s="343"/>
      <c r="AW72" s="343"/>
      <c r="AX72" s="343"/>
      <c r="AY72" s="343"/>
      <c r="AZ72" s="343"/>
      <c r="BA72" s="343"/>
      <c r="BB72" s="343"/>
      <c r="BC72" s="343"/>
      <c r="BD72" s="343"/>
      <c r="BE72" s="187"/>
      <c r="BF72" s="188"/>
    </row>
    <row r="73" spans="3:58" ht="23.25" customHeight="1" thickTop="1" thickBot="1">
      <c r="C73" s="182" t="s">
        <v>301</v>
      </c>
      <c r="D73" s="209">
        <f>D72/D70</f>
        <v>0.1549558512622809</v>
      </c>
      <c r="E73" s="209">
        <f t="shared" ref="E73:L73" si="42">E72/E70</f>
        <v>0.2473650665340133</v>
      </c>
      <c r="F73" s="209">
        <f t="shared" si="42"/>
        <v>0.34355179704016908</v>
      </c>
      <c r="G73" s="209">
        <f t="shared" si="42"/>
        <v>0.15495585126228067</v>
      </c>
      <c r="H73" s="209">
        <f t="shared" si="42"/>
        <v>0.24736506653401322</v>
      </c>
      <c r="I73" s="209">
        <f t="shared" si="42"/>
        <v>0.34355179704016908</v>
      </c>
      <c r="J73" s="209">
        <f t="shared" si="42"/>
        <v>0.15495585126228101</v>
      </c>
      <c r="K73" s="209">
        <f t="shared" si="42"/>
        <v>0.24736506653401319</v>
      </c>
      <c r="L73" s="209">
        <f t="shared" si="42"/>
        <v>0.34355179704016908</v>
      </c>
      <c r="AR73" s="186"/>
      <c r="AS73" s="198"/>
      <c r="AT73" s="187"/>
      <c r="AU73" s="343"/>
      <c r="AV73" s="343"/>
      <c r="AW73" s="343"/>
      <c r="AX73" s="343"/>
      <c r="AY73" s="343"/>
      <c r="AZ73" s="343"/>
      <c r="BA73" s="343"/>
      <c r="BB73" s="343"/>
      <c r="BC73" s="343"/>
      <c r="BD73" s="343"/>
      <c r="BE73" s="187"/>
      <c r="BF73" s="188"/>
    </row>
    <row r="74" spans="3:58" ht="23.25" customHeight="1" thickTop="1" thickBot="1">
      <c r="C74" s="206" t="s">
        <v>309</v>
      </c>
      <c r="D74" s="207"/>
      <c r="E74" s="207"/>
      <c r="F74" s="207"/>
      <c r="G74" s="207"/>
      <c r="H74" s="207"/>
      <c r="I74" s="207"/>
      <c r="J74" s="207"/>
      <c r="K74" s="207"/>
      <c r="L74" s="207"/>
      <c r="AR74" s="202"/>
      <c r="AS74" s="213"/>
      <c r="AT74" s="203"/>
      <c r="AU74" s="203"/>
      <c r="AV74" s="203"/>
      <c r="AW74" s="203"/>
      <c r="AX74" s="203"/>
      <c r="AY74" s="203"/>
      <c r="AZ74" s="203"/>
      <c r="BA74" s="203"/>
      <c r="BB74" s="203"/>
      <c r="BC74" s="203"/>
      <c r="BD74" s="203"/>
      <c r="BE74" s="203"/>
      <c r="BF74" s="204"/>
    </row>
    <row r="75" spans="3:58" ht="14.25" thickTop="1" thickBot="1">
      <c r="C75" s="189" t="s">
        <v>266</v>
      </c>
      <c r="D75" s="201">
        <f>D33</f>
        <v>5.6396169248902561</v>
      </c>
      <c r="E75" s="201">
        <f t="shared" ref="E75:L75" si="43">E33</f>
        <v>5.6396169248902561</v>
      </c>
      <c r="F75" s="201">
        <f t="shared" si="43"/>
        <v>5.6396169248902561</v>
      </c>
      <c r="G75" s="201">
        <f t="shared" si="43"/>
        <v>2.8710777072168567</v>
      </c>
      <c r="H75" s="201">
        <f t="shared" si="43"/>
        <v>2.8710777072168567</v>
      </c>
      <c r="I75" s="201">
        <f t="shared" si="43"/>
        <v>2.8710777072168567</v>
      </c>
      <c r="J75" s="201">
        <f t="shared" si="43"/>
        <v>4.7167705189991223</v>
      </c>
      <c r="K75" s="201">
        <f t="shared" si="43"/>
        <v>4.7167705189991223</v>
      </c>
      <c r="L75" s="201">
        <f t="shared" si="43"/>
        <v>4.7167705189991223</v>
      </c>
    </row>
    <row r="76" spans="3:58" ht="14.25" thickTop="1" thickBot="1">
      <c r="C76" s="189" t="s">
        <v>267</v>
      </c>
      <c r="D76" s="201">
        <f t="shared" ref="D76:L76" si="44">O33</f>
        <v>4.7657252835007196</v>
      </c>
      <c r="E76" s="201">
        <f t="shared" si="44"/>
        <v>4.2445727090384295</v>
      </c>
      <c r="F76" s="201">
        <f t="shared" si="44"/>
        <v>3.7021163957260561</v>
      </c>
      <c r="G76" s="201">
        <f t="shared" si="44"/>
        <v>2.4261874170549116</v>
      </c>
      <c r="H76" s="201">
        <f t="shared" si="44"/>
        <v>2.1608733791468371</v>
      </c>
      <c r="I76" s="201">
        <f t="shared" si="44"/>
        <v>1.8847138014605376</v>
      </c>
      <c r="J76" s="201">
        <f t="shared" si="44"/>
        <v>3.9858793280187825</v>
      </c>
      <c r="K76" s="201">
        <f t="shared" si="44"/>
        <v>3.5500062657412323</v>
      </c>
      <c r="L76" s="201">
        <f t="shared" si="44"/>
        <v>3.0963155309708825</v>
      </c>
    </row>
    <row r="77" spans="3:58" ht="16.5" thickTop="1" thickBot="1">
      <c r="C77" s="182" t="s">
        <v>202</v>
      </c>
      <c r="D77" s="212">
        <f>D75-D76</f>
        <v>0.87389164138953657</v>
      </c>
      <c r="E77" s="212">
        <f t="shared" ref="E77:L77" si="45">E75-E76</f>
        <v>1.3950442158518266</v>
      </c>
      <c r="F77" s="212">
        <f t="shared" si="45"/>
        <v>1.9375005291642</v>
      </c>
      <c r="G77" s="212">
        <f t="shared" si="45"/>
        <v>0.44489029016194515</v>
      </c>
      <c r="H77" s="212">
        <f t="shared" si="45"/>
        <v>0.71020432807001965</v>
      </c>
      <c r="I77" s="212">
        <f t="shared" si="45"/>
        <v>0.98636390575631916</v>
      </c>
      <c r="J77" s="212">
        <f t="shared" si="45"/>
        <v>0.73089119098033972</v>
      </c>
      <c r="K77" s="212">
        <f t="shared" si="45"/>
        <v>1.1667642532578899</v>
      </c>
      <c r="L77" s="212">
        <f t="shared" si="45"/>
        <v>1.6204549880282397</v>
      </c>
    </row>
    <row r="78" spans="3:58" ht="16.5" thickTop="1" thickBot="1">
      <c r="C78" s="182" t="s">
        <v>301</v>
      </c>
      <c r="D78" s="209">
        <f>D77/D75</f>
        <v>0.1549558512622809</v>
      </c>
      <c r="E78" s="209">
        <f t="shared" ref="E78:L78" si="46">E77/E75</f>
        <v>0.24736506653401347</v>
      </c>
      <c r="F78" s="209">
        <f t="shared" si="46"/>
        <v>0.34355179704016914</v>
      </c>
      <c r="G78" s="209">
        <f t="shared" si="46"/>
        <v>0.1549558512622807</v>
      </c>
      <c r="H78" s="209">
        <f t="shared" si="46"/>
        <v>0.24736506653401313</v>
      </c>
      <c r="I78" s="209">
        <f t="shared" si="46"/>
        <v>0.34355179704016897</v>
      </c>
      <c r="J78" s="209">
        <f t="shared" si="46"/>
        <v>0.15495585126228095</v>
      </c>
      <c r="K78" s="209">
        <f t="shared" si="46"/>
        <v>0.24736506653401322</v>
      </c>
      <c r="L78" s="209">
        <f t="shared" si="46"/>
        <v>0.34355179704016914</v>
      </c>
    </row>
    <row r="79" spans="3:58" ht="31.5" thickTop="1" thickBot="1">
      <c r="C79" s="206" t="s">
        <v>310</v>
      </c>
      <c r="D79" s="207"/>
      <c r="E79" s="207"/>
      <c r="F79" s="207"/>
      <c r="G79" s="207"/>
      <c r="H79" s="207"/>
      <c r="I79" s="207"/>
      <c r="J79" s="207"/>
      <c r="K79" s="207"/>
      <c r="L79" s="207"/>
    </row>
    <row r="80" spans="3:58" ht="14.25" thickTop="1" thickBot="1">
      <c r="C80" s="189" t="s">
        <v>266</v>
      </c>
      <c r="D80" s="191">
        <f>D24</f>
        <v>30.702931772476603</v>
      </c>
      <c r="E80" s="191">
        <f t="shared" ref="E80:L80" si="47">E24</f>
        <v>30.702931772476603</v>
      </c>
      <c r="F80" s="191">
        <f t="shared" si="47"/>
        <v>30.702931772476603</v>
      </c>
      <c r="G80" s="191">
        <f t="shared" si="47"/>
        <v>15.630583447806272</v>
      </c>
      <c r="H80" s="191">
        <f t="shared" si="47"/>
        <v>15.630583447806272</v>
      </c>
      <c r="I80" s="191">
        <f t="shared" si="47"/>
        <v>15.630583447806272</v>
      </c>
      <c r="J80" s="191">
        <f t="shared" si="47"/>
        <v>25.678815664253161</v>
      </c>
      <c r="K80" s="191">
        <f t="shared" si="47"/>
        <v>25.678815664253161</v>
      </c>
      <c r="L80" s="191">
        <f t="shared" si="47"/>
        <v>25.678815664253161</v>
      </c>
    </row>
    <row r="81" spans="2:34" ht="14.25" thickTop="1" thickBot="1">
      <c r="C81" s="189" t="s">
        <v>267</v>
      </c>
      <c r="D81" s="191">
        <f t="shared" ref="D81:L81" si="48">O24</f>
        <v>25.120580541117221</v>
      </c>
      <c r="E81" s="191">
        <f t="shared" si="48"/>
        <v>21.980507973477568</v>
      </c>
      <c r="F81" s="191">
        <f t="shared" si="48"/>
        <v>18.840435405837919</v>
      </c>
      <c r="G81" s="191">
        <f t="shared" si="48"/>
        <v>12.788659184568768</v>
      </c>
      <c r="H81" s="191">
        <f t="shared" si="48"/>
        <v>11.19007678649767</v>
      </c>
      <c r="I81" s="191">
        <f t="shared" si="48"/>
        <v>9.5914943884265753</v>
      </c>
      <c r="J81" s="191">
        <f t="shared" si="48"/>
        <v>21.0099400889344</v>
      </c>
      <c r="K81" s="191">
        <f t="shared" si="48"/>
        <v>18.3836975778176</v>
      </c>
      <c r="L81" s="191">
        <f t="shared" si="48"/>
        <v>15.757455066700802</v>
      </c>
    </row>
    <row r="82" spans="2:34" ht="16.5" thickTop="1" thickBot="1">
      <c r="C82" s="182" t="s">
        <v>202</v>
      </c>
      <c r="D82" s="208">
        <f>D80-D81</f>
        <v>5.5823512313593824</v>
      </c>
      <c r="E82" s="208">
        <f t="shared" ref="E82:L82" si="49">E80-E81</f>
        <v>8.722423798999035</v>
      </c>
      <c r="F82" s="208">
        <f t="shared" si="49"/>
        <v>11.862496366638684</v>
      </c>
      <c r="G82" s="208">
        <f t="shared" si="49"/>
        <v>2.8419242632375035</v>
      </c>
      <c r="H82" s="208">
        <f t="shared" si="49"/>
        <v>4.4405066613086017</v>
      </c>
      <c r="I82" s="208">
        <f t="shared" si="49"/>
        <v>6.0390890593796964</v>
      </c>
      <c r="J82" s="208">
        <f t="shared" si="49"/>
        <v>4.6688755753187614</v>
      </c>
      <c r="K82" s="208">
        <f t="shared" si="49"/>
        <v>7.2951180864355614</v>
      </c>
      <c r="L82" s="208">
        <f t="shared" si="49"/>
        <v>9.9213605975523596</v>
      </c>
    </row>
    <row r="83" spans="2:34" ht="16.5" thickTop="1" thickBot="1">
      <c r="C83" s="182" t="s">
        <v>301</v>
      </c>
      <c r="D83" s="209">
        <f>D82/D80</f>
        <v>0.18181818181818182</v>
      </c>
      <c r="E83" s="209">
        <f t="shared" ref="E83:L83" si="50">E82/E80</f>
        <v>0.28409090909090912</v>
      </c>
      <c r="F83" s="209">
        <f t="shared" si="50"/>
        <v>0.38636363636363624</v>
      </c>
      <c r="G83" s="209">
        <f t="shared" si="50"/>
        <v>0.1818181818181818</v>
      </c>
      <c r="H83" s="209">
        <f t="shared" si="50"/>
        <v>0.28409090909090923</v>
      </c>
      <c r="I83" s="209">
        <f t="shared" si="50"/>
        <v>0.38636363636363641</v>
      </c>
      <c r="J83" s="209">
        <f t="shared" si="50"/>
        <v>0.18181818181818202</v>
      </c>
      <c r="K83" s="209">
        <f t="shared" si="50"/>
        <v>0.28409090909090928</v>
      </c>
      <c r="L83" s="209">
        <f t="shared" si="50"/>
        <v>0.38636363636363641</v>
      </c>
    </row>
    <row r="84" spans="2:34" s="217" customFormat="1" ht="15.75" thickTop="1">
      <c r="B84" s="214"/>
      <c r="C84" s="215"/>
      <c r="D84" s="216"/>
      <c r="E84" s="216"/>
      <c r="F84" s="216"/>
      <c r="G84" s="216"/>
      <c r="H84" s="216"/>
      <c r="I84" s="216"/>
      <c r="J84" s="216"/>
      <c r="K84" s="216"/>
      <c r="L84" s="216"/>
    </row>
    <row r="85" spans="2:34" s="217" customFormat="1">
      <c r="B85" s="218" t="s">
        <v>311</v>
      </c>
      <c r="C85" s="219"/>
      <c r="D85" s="219"/>
      <c r="E85" s="219"/>
      <c r="F85" s="219"/>
      <c r="G85" s="219"/>
      <c r="H85" s="219"/>
      <c r="I85" s="120" t="s">
        <v>211</v>
      </c>
      <c r="J85" s="219"/>
      <c r="K85" s="219"/>
      <c r="L85" s="219"/>
      <c r="M85" s="178"/>
      <c r="N85" s="178"/>
      <c r="O85" s="178"/>
      <c r="P85" s="178"/>
      <c r="Q85" s="178"/>
      <c r="R85" s="178"/>
      <c r="S85" s="178"/>
      <c r="T85" s="178"/>
      <c r="U85" s="178"/>
      <c r="V85" s="178"/>
    </row>
    <row r="86" spans="2:34" s="217" customFormat="1" ht="13.5" thickBot="1">
      <c r="B86" s="214"/>
      <c r="C86" s="179" t="s">
        <v>266</v>
      </c>
      <c r="D86" s="180"/>
      <c r="E86" s="180"/>
      <c r="F86" s="180"/>
      <c r="G86" s="180"/>
      <c r="H86" s="180"/>
      <c r="I86" s="180"/>
      <c r="J86" s="181"/>
      <c r="K86" s="180"/>
      <c r="L86" s="180"/>
      <c r="M86" s="176"/>
      <c r="N86" s="179" t="s">
        <v>267</v>
      </c>
      <c r="O86" s="180"/>
      <c r="P86" s="180"/>
      <c r="Q86" s="180"/>
      <c r="R86" s="180"/>
      <c r="S86" s="180"/>
      <c r="T86" s="180"/>
      <c r="U86" s="181"/>
      <c r="V86" s="180"/>
      <c r="W86" s="180"/>
      <c r="Y86" s="179" t="s">
        <v>312</v>
      </c>
      <c r="Z86" s="180"/>
      <c r="AA86" s="180"/>
      <c r="AB86" s="180"/>
      <c r="AC86" s="180"/>
      <c r="AD86" s="180"/>
      <c r="AE86" s="180"/>
      <c r="AF86" s="181"/>
      <c r="AG86" s="180"/>
      <c r="AH86" s="180"/>
    </row>
    <row r="87" spans="2:34" s="217" customFormat="1" ht="16.5" customHeight="1" thickTop="1" thickBot="1">
      <c r="B87" s="214"/>
      <c r="C87" s="182" t="s">
        <v>268</v>
      </c>
      <c r="D87" s="344" t="str">
        <f>$D$9</f>
        <v>Primary Shower</v>
      </c>
      <c r="E87" s="344"/>
      <c r="F87" s="344"/>
      <c r="G87" s="344" t="str">
        <f>$G$9</f>
        <v>Secondary Shower</v>
      </c>
      <c r="H87" s="344"/>
      <c r="I87" s="344"/>
      <c r="J87" s="344" t="str">
        <f>$J$9</f>
        <v>Any Shower</v>
      </c>
      <c r="K87" s="344"/>
      <c r="L87" s="344"/>
      <c r="N87" s="182" t="s">
        <v>268</v>
      </c>
      <c r="O87" s="344" t="str">
        <f>$D$9</f>
        <v>Primary Shower</v>
      </c>
      <c r="P87" s="344"/>
      <c r="Q87" s="344"/>
      <c r="R87" s="344" t="str">
        <f>$G$9</f>
        <v>Secondary Shower</v>
      </c>
      <c r="S87" s="344"/>
      <c r="T87" s="344"/>
      <c r="U87" s="344" t="str">
        <f>$J$9</f>
        <v>Any Shower</v>
      </c>
      <c r="V87" s="344"/>
      <c r="W87" s="344"/>
      <c r="Y87" s="182" t="s">
        <v>268</v>
      </c>
      <c r="Z87" s="344" t="str">
        <f>$D$9</f>
        <v>Primary Shower</v>
      </c>
      <c r="AA87" s="344"/>
      <c r="AB87" s="344"/>
      <c r="AC87" s="344" t="str">
        <f>$G$9</f>
        <v>Secondary Shower</v>
      </c>
      <c r="AD87" s="344"/>
      <c r="AE87" s="344"/>
      <c r="AF87" s="345" t="str">
        <f>$J$9</f>
        <v>Any Shower</v>
      </c>
      <c r="AG87" s="345"/>
      <c r="AH87" s="345"/>
    </row>
    <row r="88" spans="2:34" s="217" customFormat="1" ht="34.5" customHeight="1" thickTop="1" thickBot="1">
      <c r="B88" s="214"/>
      <c r="C88" s="182" t="s">
        <v>272</v>
      </c>
      <c r="D88" s="314" t="s">
        <v>273</v>
      </c>
      <c r="E88" s="314" t="s">
        <v>274</v>
      </c>
      <c r="F88" s="314" t="s">
        <v>275</v>
      </c>
      <c r="G88" s="314" t="s">
        <v>273</v>
      </c>
      <c r="H88" s="314" t="s">
        <v>274</v>
      </c>
      <c r="I88" s="314" t="s">
        <v>275</v>
      </c>
      <c r="J88" s="314" t="s">
        <v>273</v>
      </c>
      <c r="K88" s="314" t="s">
        <v>274</v>
      </c>
      <c r="L88" s="314" t="s">
        <v>275</v>
      </c>
      <c r="N88" s="182" t="s">
        <v>272</v>
      </c>
      <c r="O88" s="314" t="s">
        <v>273</v>
      </c>
      <c r="P88" s="314" t="s">
        <v>274</v>
      </c>
      <c r="Q88" s="314" t="s">
        <v>275</v>
      </c>
      <c r="R88" s="314" t="s">
        <v>273</v>
      </c>
      <c r="S88" s="314" t="s">
        <v>274</v>
      </c>
      <c r="T88" s="314" t="s">
        <v>275</v>
      </c>
      <c r="U88" s="314" t="s">
        <v>273</v>
      </c>
      <c r="V88" s="314" t="s">
        <v>274</v>
      </c>
      <c r="W88" s="314" t="s">
        <v>275</v>
      </c>
      <c r="Y88" s="182" t="s">
        <v>272</v>
      </c>
      <c r="Z88" s="314" t="s">
        <v>273</v>
      </c>
      <c r="AA88" s="314" t="s">
        <v>274</v>
      </c>
      <c r="AB88" s="314" t="s">
        <v>275</v>
      </c>
      <c r="AC88" s="314" t="s">
        <v>273</v>
      </c>
      <c r="AD88" s="314" t="s">
        <v>274</v>
      </c>
      <c r="AE88" s="314" t="s">
        <v>275</v>
      </c>
      <c r="AF88" s="315" t="s">
        <v>273</v>
      </c>
      <c r="AG88" s="315" t="s">
        <v>274</v>
      </c>
      <c r="AH88" s="315" t="s">
        <v>275</v>
      </c>
    </row>
    <row r="89" spans="2:34" s="217" customFormat="1" ht="14.25" thickTop="1" thickBot="1">
      <c r="B89" s="214"/>
      <c r="C89" s="220" t="s">
        <v>299</v>
      </c>
      <c r="D89" s="191">
        <f>D40</f>
        <v>8333.8024000000005</v>
      </c>
      <c r="E89" s="191">
        <f t="shared" ref="E89:L89" si="51">E40</f>
        <v>8333.8024000000005</v>
      </c>
      <c r="F89" s="191">
        <f t="shared" si="51"/>
        <v>8333.8024000000005</v>
      </c>
      <c r="G89" s="191">
        <f t="shared" si="51"/>
        <v>4242.6630400000004</v>
      </c>
      <c r="H89" s="191">
        <f t="shared" si="51"/>
        <v>4242.6630400000004</v>
      </c>
      <c r="I89" s="191">
        <f t="shared" si="51"/>
        <v>4242.6630400000004</v>
      </c>
      <c r="J89" s="191">
        <f t="shared" si="51"/>
        <v>6970.0892800000001</v>
      </c>
      <c r="K89" s="191">
        <f t="shared" si="51"/>
        <v>6970.0892800000001</v>
      </c>
      <c r="L89" s="191">
        <f t="shared" si="51"/>
        <v>6970.0892800000001</v>
      </c>
      <c r="N89" s="220" t="s">
        <v>299</v>
      </c>
      <c r="O89" s="191">
        <f>D41</f>
        <v>6818.5655999999999</v>
      </c>
      <c r="P89" s="191">
        <f t="shared" ref="P89:W89" si="52">E41</f>
        <v>5966.2448999999997</v>
      </c>
      <c r="Q89" s="191">
        <f t="shared" si="52"/>
        <v>5113.9242000000004</v>
      </c>
      <c r="R89" s="191">
        <f t="shared" si="52"/>
        <v>3471.2697600000006</v>
      </c>
      <c r="S89" s="191">
        <f t="shared" si="52"/>
        <v>3037.3610399999998</v>
      </c>
      <c r="T89" s="191">
        <f t="shared" si="52"/>
        <v>2603.4523200000003</v>
      </c>
      <c r="U89" s="191">
        <f t="shared" si="52"/>
        <v>5702.8003199999994</v>
      </c>
      <c r="V89" s="191">
        <f t="shared" si="52"/>
        <v>4989.9502799999991</v>
      </c>
      <c r="W89" s="191">
        <f t="shared" si="52"/>
        <v>4277.1002399999998</v>
      </c>
      <c r="Y89" s="220" t="s">
        <v>299</v>
      </c>
      <c r="Z89" s="191">
        <f t="shared" ref="Z89:AH97" si="53">D89-O89</f>
        <v>1515.2368000000006</v>
      </c>
      <c r="AA89" s="191">
        <f t="shared" si="53"/>
        <v>2367.5575000000008</v>
      </c>
      <c r="AB89" s="191">
        <f t="shared" si="53"/>
        <v>3219.8782000000001</v>
      </c>
      <c r="AC89" s="191">
        <f t="shared" si="53"/>
        <v>771.39327999999978</v>
      </c>
      <c r="AD89" s="191">
        <f t="shared" si="53"/>
        <v>1205.3020000000006</v>
      </c>
      <c r="AE89" s="191">
        <f t="shared" si="53"/>
        <v>1639.21072</v>
      </c>
      <c r="AF89" s="229">
        <f t="shared" si="53"/>
        <v>1267.2889600000008</v>
      </c>
      <c r="AG89" s="229">
        <f t="shared" si="53"/>
        <v>1980.139000000001</v>
      </c>
      <c r="AH89" s="229">
        <f t="shared" si="53"/>
        <v>2692.9890400000004</v>
      </c>
    </row>
    <row r="90" spans="2:34" s="217" customFormat="1" ht="14.25" thickTop="1" thickBot="1">
      <c r="B90" s="214"/>
      <c r="C90" s="220" t="s">
        <v>313</v>
      </c>
      <c r="D90" s="221">
        <f>D45</f>
        <v>127.757190792</v>
      </c>
      <c r="E90" s="221">
        <f t="shared" ref="E90:L90" si="54">E45</f>
        <v>127.757190792</v>
      </c>
      <c r="F90" s="221">
        <f t="shared" si="54"/>
        <v>127.757190792</v>
      </c>
      <c r="G90" s="221">
        <f t="shared" si="54"/>
        <v>65.040024403200007</v>
      </c>
      <c r="H90" s="221">
        <f t="shared" si="54"/>
        <v>65.040024403200007</v>
      </c>
      <c r="I90" s="221">
        <f t="shared" si="54"/>
        <v>65.040024403200007</v>
      </c>
      <c r="J90" s="221">
        <f t="shared" si="54"/>
        <v>106.85146866240001</v>
      </c>
      <c r="K90" s="221">
        <f t="shared" si="54"/>
        <v>106.85146866240001</v>
      </c>
      <c r="L90" s="221">
        <f t="shared" si="54"/>
        <v>106.85146866240001</v>
      </c>
      <c r="N90" s="220" t="s">
        <v>313</v>
      </c>
      <c r="O90" s="196">
        <f>D46</f>
        <v>104.528610648</v>
      </c>
      <c r="P90" s="196">
        <f t="shared" ref="P90:W90" si="55">E46</f>
        <v>91.462534316999992</v>
      </c>
      <c r="Q90" s="196">
        <f t="shared" si="55"/>
        <v>78.396457986000001</v>
      </c>
      <c r="R90" s="196">
        <f t="shared" si="55"/>
        <v>53.214565420800014</v>
      </c>
      <c r="S90" s="196">
        <f t="shared" si="55"/>
        <v>46.5627447432</v>
      </c>
      <c r="T90" s="196">
        <f t="shared" si="55"/>
        <v>39.910924065600007</v>
      </c>
      <c r="U90" s="196">
        <f t="shared" si="55"/>
        <v>87.423928905599993</v>
      </c>
      <c r="V90" s="196">
        <f t="shared" si="55"/>
        <v>76.495937792399985</v>
      </c>
      <c r="W90" s="196">
        <f t="shared" si="55"/>
        <v>65.567946679200006</v>
      </c>
      <c r="Y90" s="220" t="s">
        <v>313</v>
      </c>
      <c r="Z90" s="196">
        <f t="shared" si="53"/>
        <v>23.228580144000006</v>
      </c>
      <c r="AA90" s="196">
        <f t="shared" si="53"/>
        <v>36.294656475000011</v>
      </c>
      <c r="AB90" s="196">
        <f t="shared" si="53"/>
        <v>49.360732806000001</v>
      </c>
      <c r="AC90" s="196">
        <f t="shared" si="53"/>
        <v>11.825458982399994</v>
      </c>
      <c r="AD90" s="196">
        <f t="shared" si="53"/>
        <v>18.477279660000008</v>
      </c>
      <c r="AE90" s="196">
        <f t="shared" si="53"/>
        <v>25.129100337600001</v>
      </c>
      <c r="AF90" s="231">
        <f t="shared" si="53"/>
        <v>19.427539756800016</v>
      </c>
      <c r="AG90" s="231">
        <f t="shared" si="53"/>
        <v>30.355530870000024</v>
      </c>
      <c r="AH90" s="231">
        <f t="shared" si="53"/>
        <v>41.283521983200004</v>
      </c>
    </row>
    <row r="91" spans="2:34" s="217" customFormat="1" ht="14.25" thickTop="1" thickBot="1">
      <c r="B91" s="214"/>
      <c r="C91" s="220" t="s">
        <v>314</v>
      </c>
      <c r="D91" s="191">
        <f>D80</f>
        <v>30.702931772476603</v>
      </c>
      <c r="E91" s="191">
        <f t="shared" ref="E91:L91" si="56">E80</f>
        <v>30.702931772476603</v>
      </c>
      <c r="F91" s="191">
        <f t="shared" si="56"/>
        <v>30.702931772476603</v>
      </c>
      <c r="G91" s="191">
        <f t="shared" si="56"/>
        <v>15.630583447806272</v>
      </c>
      <c r="H91" s="191">
        <f t="shared" si="56"/>
        <v>15.630583447806272</v>
      </c>
      <c r="I91" s="191">
        <f t="shared" si="56"/>
        <v>15.630583447806272</v>
      </c>
      <c r="J91" s="191">
        <f t="shared" si="56"/>
        <v>25.678815664253161</v>
      </c>
      <c r="K91" s="191">
        <f t="shared" si="56"/>
        <v>25.678815664253161</v>
      </c>
      <c r="L91" s="191">
        <f t="shared" si="56"/>
        <v>25.678815664253161</v>
      </c>
      <c r="N91" s="220" t="s">
        <v>314</v>
      </c>
      <c r="O91" s="191">
        <f>D81</f>
        <v>25.120580541117221</v>
      </c>
      <c r="P91" s="191">
        <f t="shared" ref="P91:W91" si="57">E81</f>
        <v>21.980507973477568</v>
      </c>
      <c r="Q91" s="191">
        <f t="shared" si="57"/>
        <v>18.840435405837919</v>
      </c>
      <c r="R91" s="191">
        <f t="shared" si="57"/>
        <v>12.788659184568768</v>
      </c>
      <c r="S91" s="191">
        <f t="shared" si="57"/>
        <v>11.19007678649767</v>
      </c>
      <c r="T91" s="191">
        <f t="shared" si="57"/>
        <v>9.5914943884265753</v>
      </c>
      <c r="U91" s="191">
        <f t="shared" si="57"/>
        <v>21.0099400889344</v>
      </c>
      <c r="V91" s="191">
        <f t="shared" si="57"/>
        <v>18.3836975778176</v>
      </c>
      <c r="W91" s="191">
        <f t="shared" si="57"/>
        <v>15.757455066700802</v>
      </c>
      <c r="Y91" s="220" t="s">
        <v>314</v>
      </c>
      <c r="Z91" s="191">
        <f t="shared" si="53"/>
        <v>5.5823512313593824</v>
      </c>
      <c r="AA91" s="191">
        <f t="shared" si="53"/>
        <v>8.722423798999035</v>
      </c>
      <c r="AB91" s="191">
        <f t="shared" si="53"/>
        <v>11.862496366638684</v>
      </c>
      <c r="AC91" s="191">
        <f t="shared" si="53"/>
        <v>2.8419242632375035</v>
      </c>
      <c r="AD91" s="191">
        <f t="shared" si="53"/>
        <v>4.4405066613086017</v>
      </c>
      <c r="AE91" s="191">
        <f t="shared" si="53"/>
        <v>6.0390890593796964</v>
      </c>
      <c r="AF91" s="229">
        <f t="shared" si="53"/>
        <v>4.6688755753187614</v>
      </c>
      <c r="AG91" s="229">
        <f t="shared" si="53"/>
        <v>7.2951180864355614</v>
      </c>
      <c r="AH91" s="229">
        <f t="shared" si="53"/>
        <v>9.9213605975523596</v>
      </c>
    </row>
    <row r="92" spans="2:34" s="217" customFormat="1" ht="14.25" thickTop="1" thickBot="1">
      <c r="B92" s="214"/>
      <c r="C92" s="220" t="s">
        <v>303</v>
      </c>
      <c r="D92" s="191">
        <f>D50</f>
        <v>6092.0095544000005</v>
      </c>
      <c r="E92" s="191">
        <f t="shared" ref="E92:L92" si="58">E50</f>
        <v>6092.0095544000005</v>
      </c>
      <c r="F92" s="191">
        <f t="shared" si="58"/>
        <v>6092.0095544000005</v>
      </c>
      <c r="G92" s="191">
        <f t="shared" si="58"/>
        <v>3101.38668224</v>
      </c>
      <c r="H92" s="191">
        <f t="shared" si="58"/>
        <v>3101.38668224</v>
      </c>
      <c r="I92" s="191">
        <f t="shared" si="58"/>
        <v>3101.38668224</v>
      </c>
      <c r="J92" s="191">
        <f t="shared" si="58"/>
        <v>5095.1352636800002</v>
      </c>
      <c r="K92" s="191">
        <f t="shared" si="58"/>
        <v>5095.1352636800002</v>
      </c>
      <c r="L92" s="191">
        <f t="shared" si="58"/>
        <v>5095.1352636800002</v>
      </c>
      <c r="N92" s="220" t="s">
        <v>303</v>
      </c>
      <c r="O92" s="191">
        <f>D51</f>
        <v>5148.0170280000002</v>
      </c>
      <c r="P92" s="191">
        <f t="shared" ref="P92:W92" si="59">E51</f>
        <v>4585.05920565</v>
      </c>
      <c r="Q92" s="191">
        <f t="shared" si="59"/>
        <v>3999.0887244000005</v>
      </c>
      <c r="R92" s="191">
        <f t="shared" si="59"/>
        <v>2620.8086688000003</v>
      </c>
      <c r="S92" s="191">
        <f t="shared" si="59"/>
        <v>2334.2119592399999</v>
      </c>
      <c r="T92" s="191">
        <f t="shared" si="59"/>
        <v>2035.8997142400003</v>
      </c>
      <c r="U92" s="191">
        <f t="shared" si="59"/>
        <v>4305.6142415999993</v>
      </c>
      <c r="V92" s="191">
        <f t="shared" si="59"/>
        <v>3834.7767901799998</v>
      </c>
      <c r="W92" s="191">
        <f t="shared" si="59"/>
        <v>3344.6923876800001</v>
      </c>
      <c r="Y92" s="220" t="s">
        <v>303</v>
      </c>
      <c r="Z92" s="191">
        <f t="shared" si="53"/>
        <v>943.99252640000032</v>
      </c>
      <c r="AA92" s="191">
        <f t="shared" si="53"/>
        <v>1506.9503487500006</v>
      </c>
      <c r="AB92" s="191">
        <f t="shared" si="53"/>
        <v>2092.92083</v>
      </c>
      <c r="AC92" s="191">
        <f t="shared" si="53"/>
        <v>480.57801343999972</v>
      </c>
      <c r="AD92" s="191">
        <f t="shared" si="53"/>
        <v>767.17472300000009</v>
      </c>
      <c r="AE92" s="191">
        <f t="shared" si="53"/>
        <v>1065.4869679999997</v>
      </c>
      <c r="AF92" s="229">
        <f t="shared" si="53"/>
        <v>789.52102208000088</v>
      </c>
      <c r="AG92" s="229">
        <f t="shared" si="53"/>
        <v>1260.3584735000004</v>
      </c>
      <c r="AH92" s="229">
        <f t="shared" si="53"/>
        <v>1750.4428760000001</v>
      </c>
    </row>
    <row r="93" spans="2:34" s="217" customFormat="1" ht="14.25" thickTop="1" thickBot="1">
      <c r="B93" s="214"/>
      <c r="C93" s="220" t="s">
        <v>315</v>
      </c>
      <c r="D93" s="191">
        <f>D55</f>
        <v>456900.71658000007</v>
      </c>
      <c r="E93" s="191">
        <f t="shared" ref="E93:L93" si="60">E55</f>
        <v>456900.71658000007</v>
      </c>
      <c r="F93" s="191">
        <f t="shared" si="60"/>
        <v>456900.71658000007</v>
      </c>
      <c r="G93" s="191">
        <f t="shared" si="60"/>
        <v>232604.00116799999</v>
      </c>
      <c r="H93" s="191">
        <f t="shared" si="60"/>
        <v>232604.00116799999</v>
      </c>
      <c r="I93" s="191">
        <f t="shared" si="60"/>
        <v>232604.00116799999</v>
      </c>
      <c r="J93" s="191">
        <f t="shared" si="60"/>
        <v>382135.144776</v>
      </c>
      <c r="K93" s="191">
        <f t="shared" si="60"/>
        <v>382135.144776</v>
      </c>
      <c r="L93" s="191">
        <f t="shared" si="60"/>
        <v>382135.144776</v>
      </c>
      <c r="N93" s="220" t="s">
        <v>315</v>
      </c>
      <c r="O93" s="191">
        <f>D56</f>
        <v>386101.27710000001</v>
      </c>
      <c r="P93" s="191">
        <f t="shared" ref="P93:W93" si="61">E56</f>
        <v>343879.44042374997</v>
      </c>
      <c r="Q93" s="191">
        <f t="shared" si="61"/>
        <v>299931.65433000005</v>
      </c>
      <c r="R93" s="191">
        <f t="shared" si="61"/>
        <v>196560.65016000002</v>
      </c>
      <c r="S93" s="191">
        <f t="shared" si="61"/>
        <v>175065.896943</v>
      </c>
      <c r="T93" s="191">
        <f t="shared" si="61"/>
        <v>152692.47856800002</v>
      </c>
      <c r="U93" s="191">
        <f t="shared" si="61"/>
        <v>322921.06811999995</v>
      </c>
      <c r="V93" s="191">
        <f t="shared" si="61"/>
        <v>287608.25926349999</v>
      </c>
      <c r="W93" s="191">
        <f t="shared" si="61"/>
        <v>250851.929076</v>
      </c>
      <c r="Y93" s="220" t="s">
        <v>315</v>
      </c>
      <c r="Z93" s="191">
        <f t="shared" si="53"/>
        <v>70799.439480000059</v>
      </c>
      <c r="AA93" s="191">
        <f t="shared" si="53"/>
        <v>113021.2761562501</v>
      </c>
      <c r="AB93" s="191">
        <f t="shared" si="53"/>
        <v>156969.06225000002</v>
      </c>
      <c r="AC93" s="191">
        <f t="shared" si="53"/>
        <v>36043.351007999969</v>
      </c>
      <c r="AD93" s="191">
        <f t="shared" si="53"/>
        <v>57538.104224999988</v>
      </c>
      <c r="AE93" s="191">
        <f t="shared" si="53"/>
        <v>79911.522599999967</v>
      </c>
      <c r="AF93" s="229">
        <f t="shared" si="53"/>
        <v>59214.076656000048</v>
      </c>
      <c r="AG93" s="229">
        <f t="shared" si="53"/>
        <v>94526.885512500012</v>
      </c>
      <c r="AH93" s="229">
        <f t="shared" si="53"/>
        <v>131283.2157</v>
      </c>
    </row>
    <row r="94" spans="2:34" s="217" customFormat="1" ht="27" thickTop="1" thickBot="1">
      <c r="B94" s="214"/>
      <c r="C94" s="220" t="s">
        <v>316</v>
      </c>
      <c r="D94" s="191">
        <f>D60</f>
        <v>1139.2772745400202</v>
      </c>
      <c r="E94" s="191">
        <f t="shared" ref="E94:L94" si="62">E60</f>
        <v>1139.2772745400202</v>
      </c>
      <c r="F94" s="191">
        <f t="shared" si="62"/>
        <v>1139.2772745400202</v>
      </c>
      <c r="G94" s="191">
        <f t="shared" si="62"/>
        <v>579.99570340219202</v>
      </c>
      <c r="H94" s="191">
        <f t="shared" si="62"/>
        <v>579.99570340219202</v>
      </c>
      <c r="I94" s="191">
        <f t="shared" si="62"/>
        <v>579.99570340219202</v>
      </c>
      <c r="J94" s="191">
        <f t="shared" si="62"/>
        <v>952.85008416074402</v>
      </c>
      <c r="K94" s="191">
        <f t="shared" si="62"/>
        <v>952.85008416074402</v>
      </c>
      <c r="L94" s="191">
        <f t="shared" si="62"/>
        <v>952.85008416074402</v>
      </c>
      <c r="N94" s="220" t="s">
        <v>316</v>
      </c>
      <c r="O94" s="191">
        <f>D61</f>
        <v>962.73959463990002</v>
      </c>
      <c r="P94" s="191">
        <f t="shared" ref="P94:W94" si="63">E61</f>
        <v>857.45987572273873</v>
      </c>
      <c r="Q94" s="191">
        <f t="shared" si="63"/>
        <v>747.87651954477019</v>
      </c>
      <c r="R94" s="191">
        <f t="shared" si="63"/>
        <v>490.12197545304008</v>
      </c>
      <c r="S94" s="191">
        <f t="shared" si="63"/>
        <v>436.52502764066702</v>
      </c>
      <c r="T94" s="191">
        <f t="shared" si="63"/>
        <v>380.73713722279206</v>
      </c>
      <c r="U94" s="191">
        <f t="shared" si="63"/>
        <v>805.20038824427991</v>
      </c>
      <c r="V94" s="191">
        <f t="shared" si="63"/>
        <v>717.14825969538151</v>
      </c>
      <c r="W94" s="191">
        <f t="shared" si="63"/>
        <v>625.49672543744407</v>
      </c>
      <c r="Y94" s="220" t="s">
        <v>316</v>
      </c>
      <c r="Z94" s="191">
        <f t="shared" si="53"/>
        <v>176.53767990012022</v>
      </c>
      <c r="AA94" s="191">
        <f t="shared" si="53"/>
        <v>281.81739881728151</v>
      </c>
      <c r="AB94" s="191">
        <f t="shared" si="53"/>
        <v>391.40075499525005</v>
      </c>
      <c r="AC94" s="191">
        <f t="shared" si="53"/>
        <v>89.873727949151942</v>
      </c>
      <c r="AD94" s="191">
        <f t="shared" si="53"/>
        <v>143.470675761525</v>
      </c>
      <c r="AE94" s="191">
        <f t="shared" si="53"/>
        <v>199.25856617939996</v>
      </c>
      <c r="AF94" s="191">
        <f t="shared" si="53"/>
        <v>147.64969591646411</v>
      </c>
      <c r="AG94" s="191">
        <f t="shared" si="53"/>
        <v>235.70182446536251</v>
      </c>
      <c r="AH94" s="191">
        <f>L94-W94</f>
        <v>327.35335872329995</v>
      </c>
    </row>
    <row r="95" spans="2:34" s="217" customFormat="1" ht="27" thickTop="1" thickBot="1">
      <c r="B95" s="214"/>
      <c r="C95" s="220" t="s">
        <v>306</v>
      </c>
      <c r="D95" s="191">
        <f>D65</f>
        <v>50.807359683696006</v>
      </c>
      <c r="E95" s="191">
        <f t="shared" ref="E95:L95" si="64">E65</f>
        <v>50.807359683696006</v>
      </c>
      <c r="F95" s="191">
        <f t="shared" si="64"/>
        <v>50.807359683696006</v>
      </c>
      <c r="G95" s="191">
        <f t="shared" si="64"/>
        <v>25.865564929881597</v>
      </c>
      <c r="H95" s="191">
        <f t="shared" si="64"/>
        <v>25.865564929881597</v>
      </c>
      <c r="I95" s="191">
        <f t="shared" si="64"/>
        <v>25.865564929881597</v>
      </c>
      <c r="J95" s="191">
        <f t="shared" si="64"/>
        <v>42.493428099091197</v>
      </c>
      <c r="K95" s="191">
        <f t="shared" si="64"/>
        <v>42.493428099091197</v>
      </c>
      <c r="L95" s="191">
        <f t="shared" si="64"/>
        <v>42.493428099091197</v>
      </c>
      <c r="N95" s="220" t="s">
        <v>306</v>
      </c>
      <c r="O95" s="191">
        <f>D66</f>
        <v>42.934462013519997</v>
      </c>
      <c r="P95" s="191">
        <f t="shared" ref="P95:W95" si="65">E66</f>
        <v>38.239393775120995</v>
      </c>
      <c r="Q95" s="191">
        <f t="shared" si="65"/>
        <v>33.352399961496005</v>
      </c>
      <c r="R95" s="191">
        <f t="shared" si="65"/>
        <v>21.857544297792</v>
      </c>
      <c r="S95" s="191">
        <f t="shared" si="65"/>
        <v>19.467327740061599</v>
      </c>
      <c r="T95" s="191">
        <f t="shared" si="65"/>
        <v>16.979403616761601</v>
      </c>
      <c r="U95" s="191">
        <f t="shared" si="65"/>
        <v>35.908822774943992</v>
      </c>
      <c r="V95" s="191">
        <f t="shared" si="65"/>
        <v>31.982038430101195</v>
      </c>
      <c r="W95" s="191">
        <f t="shared" si="65"/>
        <v>27.894734513251198</v>
      </c>
      <c r="Y95" s="220" t="s">
        <v>306</v>
      </c>
      <c r="Z95" s="191">
        <f t="shared" si="53"/>
        <v>7.8728976701760089</v>
      </c>
      <c r="AA95" s="191">
        <f t="shared" si="53"/>
        <v>12.567965908575012</v>
      </c>
      <c r="AB95" s="191">
        <f t="shared" si="53"/>
        <v>17.454959722200002</v>
      </c>
      <c r="AC95" s="191">
        <f t="shared" si="53"/>
        <v>4.0080206320895968</v>
      </c>
      <c r="AD95" s="191">
        <f t="shared" si="53"/>
        <v>6.3982371898199979</v>
      </c>
      <c r="AE95" s="191">
        <f t="shared" si="53"/>
        <v>8.8861613131199952</v>
      </c>
      <c r="AF95" s="191">
        <f t="shared" si="53"/>
        <v>6.5846053241472049</v>
      </c>
      <c r="AG95" s="191">
        <f t="shared" si="53"/>
        <v>10.511389668990002</v>
      </c>
      <c r="AH95" s="191">
        <f t="shared" si="53"/>
        <v>14.59869358584</v>
      </c>
    </row>
    <row r="96" spans="2:34" s="217" customFormat="1" ht="33.75" customHeight="1" thickTop="1" thickBot="1">
      <c r="B96" s="214"/>
      <c r="C96" s="220" t="s">
        <v>317</v>
      </c>
      <c r="D96" s="191">
        <f>D70</f>
        <v>1012.817497066078</v>
      </c>
      <c r="E96" s="191">
        <f t="shared" ref="E96:L96" si="66">E70</f>
        <v>1012.817497066078</v>
      </c>
      <c r="F96" s="191">
        <f t="shared" si="66"/>
        <v>1012.817497066078</v>
      </c>
      <c r="G96" s="191">
        <f t="shared" si="66"/>
        <v>515.61618032454874</v>
      </c>
      <c r="H96" s="191">
        <f t="shared" si="66"/>
        <v>515.61618032454874</v>
      </c>
      <c r="I96" s="191">
        <f t="shared" si="66"/>
        <v>515.61618032454874</v>
      </c>
      <c r="J96" s="191">
        <f t="shared" si="66"/>
        <v>847.08372481890149</v>
      </c>
      <c r="K96" s="191">
        <f t="shared" si="66"/>
        <v>847.08372481890149</v>
      </c>
      <c r="L96" s="191">
        <f t="shared" si="66"/>
        <v>847.08372481890149</v>
      </c>
      <c r="N96" s="220" t="s">
        <v>317</v>
      </c>
      <c r="O96" s="191">
        <f>D71</f>
        <v>855.87549963487118</v>
      </c>
      <c r="P96" s="191">
        <f t="shared" ref="P96:W96" si="67">E71</f>
        <v>762.28182951751478</v>
      </c>
      <c r="Q96" s="191">
        <f t="shared" si="67"/>
        <v>664.86222587530074</v>
      </c>
      <c r="R96" s="191">
        <f t="shared" si="67"/>
        <v>435.71843617775266</v>
      </c>
      <c r="S96" s="191">
        <f t="shared" si="67"/>
        <v>388.07074957255298</v>
      </c>
      <c r="T96" s="191">
        <f t="shared" si="67"/>
        <v>338.47531499106213</v>
      </c>
      <c r="U96" s="191">
        <f t="shared" si="67"/>
        <v>715.82314514916482</v>
      </c>
      <c r="V96" s="191">
        <f t="shared" si="67"/>
        <v>637.5448028691942</v>
      </c>
      <c r="W96" s="191">
        <f t="shared" si="67"/>
        <v>556.06658891388781</v>
      </c>
      <c r="Y96" s="220" t="s">
        <v>317</v>
      </c>
      <c r="Z96" s="191">
        <f t="shared" si="53"/>
        <v>156.9419974312068</v>
      </c>
      <c r="AA96" s="191">
        <f t="shared" si="53"/>
        <v>250.5356675485632</v>
      </c>
      <c r="AB96" s="191">
        <f t="shared" si="53"/>
        <v>347.95527119077724</v>
      </c>
      <c r="AC96" s="191">
        <f t="shared" si="53"/>
        <v>79.897744146796072</v>
      </c>
      <c r="AD96" s="191">
        <f t="shared" si="53"/>
        <v>127.54543075199575</v>
      </c>
      <c r="AE96" s="191">
        <f t="shared" si="53"/>
        <v>177.1408653334866</v>
      </c>
      <c r="AF96" s="229">
        <f t="shared" si="53"/>
        <v>131.26057966973667</v>
      </c>
      <c r="AG96" s="229">
        <f t="shared" si="53"/>
        <v>209.53892194970729</v>
      </c>
      <c r="AH96" s="229">
        <f t="shared" si="53"/>
        <v>291.01713590501367</v>
      </c>
    </row>
    <row r="97" spans="2:34" s="217" customFormat="1" ht="27" thickTop="1" thickBot="1">
      <c r="B97" s="214"/>
      <c r="C97" s="220" t="s">
        <v>309</v>
      </c>
      <c r="D97" s="191">
        <f>D75</f>
        <v>5.6396169248902561</v>
      </c>
      <c r="E97" s="191">
        <f t="shared" ref="E97:L97" si="68">E75</f>
        <v>5.6396169248902561</v>
      </c>
      <c r="F97" s="191">
        <f t="shared" si="68"/>
        <v>5.6396169248902561</v>
      </c>
      <c r="G97" s="191">
        <f t="shared" si="68"/>
        <v>2.8710777072168567</v>
      </c>
      <c r="H97" s="191">
        <f t="shared" si="68"/>
        <v>2.8710777072168567</v>
      </c>
      <c r="I97" s="191">
        <f t="shared" si="68"/>
        <v>2.8710777072168567</v>
      </c>
      <c r="J97" s="191">
        <f t="shared" si="68"/>
        <v>4.7167705189991223</v>
      </c>
      <c r="K97" s="191">
        <f t="shared" si="68"/>
        <v>4.7167705189991223</v>
      </c>
      <c r="L97" s="191">
        <f t="shared" si="68"/>
        <v>4.7167705189991223</v>
      </c>
      <c r="N97" s="220" t="s">
        <v>309</v>
      </c>
      <c r="O97" s="191">
        <f>D76</f>
        <v>4.7657252835007196</v>
      </c>
      <c r="P97" s="191">
        <f t="shared" ref="P97:W97" si="69">E76</f>
        <v>4.2445727090384295</v>
      </c>
      <c r="Q97" s="191">
        <f t="shared" si="69"/>
        <v>3.7021163957260561</v>
      </c>
      <c r="R97" s="191">
        <f t="shared" si="69"/>
        <v>2.4261874170549116</v>
      </c>
      <c r="S97" s="191">
        <f t="shared" si="69"/>
        <v>2.1608733791468371</v>
      </c>
      <c r="T97" s="191">
        <f t="shared" si="69"/>
        <v>1.8847138014605376</v>
      </c>
      <c r="U97" s="191">
        <f t="shared" si="69"/>
        <v>3.9858793280187825</v>
      </c>
      <c r="V97" s="191">
        <f t="shared" si="69"/>
        <v>3.5500062657412323</v>
      </c>
      <c r="W97" s="191">
        <f t="shared" si="69"/>
        <v>3.0963155309708825</v>
      </c>
      <c r="Y97" s="220" t="s">
        <v>309</v>
      </c>
      <c r="Z97" s="191">
        <f t="shared" si="53"/>
        <v>0.87389164138953657</v>
      </c>
      <c r="AA97" s="191">
        <f t="shared" si="53"/>
        <v>1.3950442158518266</v>
      </c>
      <c r="AB97" s="191">
        <f t="shared" si="53"/>
        <v>1.9375005291642</v>
      </c>
      <c r="AC97" s="191">
        <f t="shared" si="53"/>
        <v>0.44489029016194515</v>
      </c>
      <c r="AD97" s="191">
        <f t="shared" si="53"/>
        <v>0.71020432807001965</v>
      </c>
      <c r="AE97" s="191">
        <f t="shared" si="53"/>
        <v>0.98636390575631916</v>
      </c>
      <c r="AF97" s="229">
        <f t="shared" si="53"/>
        <v>0.73089119098033972</v>
      </c>
      <c r="AG97" s="229">
        <f t="shared" si="53"/>
        <v>1.1667642532578899</v>
      </c>
      <c r="AH97" s="229">
        <f>L97-W97</f>
        <v>1.6204549880282397</v>
      </c>
    </row>
    <row r="98" spans="2:34" s="217" customFormat="1" ht="15.75" thickTop="1">
      <c r="B98" s="214"/>
      <c r="C98" s="215"/>
      <c r="D98" s="216"/>
      <c r="E98" s="216"/>
      <c r="F98" s="216"/>
      <c r="G98" s="216"/>
      <c r="H98" s="216"/>
      <c r="I98" s="216"/>
      <c r="J98" s="216"/>
      <c r="K98" s="216"/>
      <c r="L98" s="216"/>
    </row>
    <row r="99" spans="2:34">
      <c r="M99" s="175"/>
      <c r="X99" s="175"/>
    </row>
    <row r="101" spans="2:34">
      <c r="C101" s="176" t="s">
        <v>159</v>
      </c>
    </row>
    <row r="102" spans="2:34">
      <c r="C102" s="223" t="s">
        <v>318</v>
      </c>
      <c r="D102" s="225" t="s">
        <v>319</v>
      </c>
      <c r="E102" s="225" t="s">
        <v>320</v>
      </c>
      <c r="F102" s="225" t="s">
        <v>321</v>
      </c>
      <c r="G102"/>
      <c r="H102"/>
      <c r="I102"/>
    </row>
    <row r="103" spans="2:34">
      <c r="C103" s="222" t="s">
        <v>9</v>
      </c>
      <c r="D103" s="224">
        <v>10</v>
      </c>
      <c r="E103" s="224">
        <v>10</v>
      </c>
      <c r="F103" s="224">
        <v>10</v>
      </c>
      <c r="G103"/>
      <c r="H103"/>
      <c r="I103"/>
    </row>
    <row r="104" spans="2:34" ht="31.5" customHeight="1">
      <c r="C104" s="226" t="s">
        <v>10</v>
      </c>
      <c r="D104" s="227">
        <f>'MH Input Assumptions'!$C$55</f>
        <v>25.872</v>
      </c>
      <c r="E104" s="227">
        <f>'MH Input Assumptions'!$C$55</f>
        <v>25.872</v>
      </c>
      <c r="F104" s="227">
        <f>'MH Input Assumptions'!$C$55</f>
        <v>25.872</v>
      </c>
      <c r="G104"/>
      <c r="H104"/>
      <c r="I104"/>
    </row>
    <row r="105" spans="2:34">
      <c r="C105" s="222" t="s">
        <v>11</v>
      </c>
      <c r="D105" s="224">
        <v>0</v>
      </c>
      <c r="E105" s="224">
        <v>0</v>
      </c>
      <c r="F105" s="224">
        <v>0</v>
      </c>
      <c r="G105"/>
      <c r="H105"/>
      <c r="I105"/>
    </row>
    <row r="106" spans="2:34">
      <c r="C106" s="222" t="s">
        <v>12</v>
      </c>
      <c r="D106" s="224" t="s">
        <v>52</v>
      </c>
      <c r="E106" s="224" t="s">
        <v>52</v>
      </c>
      <c r="F106" s="224" t="s">
        <v>52</v>
      </c>
      <c r="G106"/>
      <c r="H106"/>
      <c r="I106"/>
    </row>
    <row r="107" spans="2:34">
      <c r="C107" s="222" t="s">
        <v>13</v>
      </c>
      <c r="D107" s="228">
        <f>J91</f>
        <v>25.678815664253161</v>
      </c>
      <c r="E107" s="228">
        <f>K91</f>
        <v>25.678815664253161</v>
      </c>
      <c r="F107" s="228">
        <f>L91</f>
        <v>25.678815664253161</v>
      </c>
      <c r="G107"/>
      <c r="H107"/>
      <c r="I107"/>
    </row>
    <row r="108" spans="2:34">
      <c r="C108" s="222" t="s">
        <v>14</v>
      </c>
      <c r="D108" s="225">
        <v>0</v>
      </c>
      <c r="E108" s="225">
        <v>0</v>
      </c>
      <c r="F108" s="225">
        <v>0</v>
      </c>
      <c r="G108"/>
      <c r="H108"/>
      <c r="I108"/>
    </row>
    <row r="109" spans="2:34">
      <c r="C109" s="222" t="s">
        <v>15</v>
      </c>
      <c r="D109" s="225">
        <v>0</v>
      </c>
      <c r="E109" s="225">
        <v>0</v>
      </c>
      <c r="F109" s="225">
        <v>0</v>
      </c>
      <c r="G109"/>
      <c r="H109"/>
      <c r="I109"/>
    </row>
    <row r="110" spans="2:34">
      <c r="C110" s="222" t="s">
        <v>16</v>
      </c>
      <c r="D110" s="225">
        <v>0</v>
      </c>
      <c r="E110" s="225">
        <v>0</v>
      </c>
      <c r="F110" s="225">
        <v>0</v>
      </c>
      <c r="G110"/>
      <c r="H110"/>
      <c r="I110"/>
    </row>
    <row r="111" spans="2:34">
      <c r="C111" s="222" t="s">
        <v>17</v>
      </c>
      <c r="D111" s="225">
        <v>0</v>
      </c>
      <c r="E111" s="225">
        <v>0</v>
      </c>
      <c r="F111" s="225">
        <v>0</v>
      </c>
      <c r="G111"/>
      <c r="H111"/>
      <c r="I111"/>
    </row>
    <row r="112" spans="2:34">
      <c r="C112" s="222" t="s">
        <v>18</v>
      </c>
      <c r="D112" s="225">
        <v>0</v>
      </c>
      <c r="E112" s="225">
        <v>0</v>
      </c>
      <c r="F112" s="225">
        <v>0</v>
      </c>
      <c r="G112"/>
      <c r="H112"/>
      <c r="I112"/>
    </row>
    <row r="113" spans="3:9">
      <c r="C113" s="222" t="s">
        <v>19</v>
      </c>
      <c r="D113" s="225">
        <v>0</v>
      </c>
      <c r="E113" s="225">
        <v>0</v>
      </c>
      <c r="F113" s="225">
        <v>0</v>
      </c>
      <c r="G113"/>
      <c r="H113"/>
      <c r="I113"/>
    </row>
  </sheetData>
  <mergeCells count="22">
    <mergeCell ref="AU67:BD73"/>
    <mergeCell ref="D87:F87"/>
    <mergeCell ref="G87:I87"/>
    <mergeCell ref="J87:L87"/>
    <mergeCell ref="O87:Q87"/>
    <mergeCell ref="R87:T87"/>
    <mergeCell ref="U87:W87"/>
    <mergeCell ref="Z87:AB87"/>
    <mergeCell ref="AC87:AE87"/>
    <mergeCell ref="AF87:AH87"/>
    <mergeCell ref="AB27:AM29"/>
    <mergeCell ref="D37:F37"/>
    <mergeCell ref="G37:I37"/>
    <mergeCell ref="J37:L37"/>
    <mergeCell ref="BL42:BT47"/>
    <mergeCell ref="AC46:AK50"/>
    <mergeCell ref="U9:W9"/>
    <mergeCell ref="D9:F9"/>
    <mergeCell ref="G9:I9"/>
    <mergeCell ref="J9:L9"/>
    <mergeCell ref="O9:Q9"/>
    <mergeCell ref="R9:T9"/>
  </mergeCells>
  <hyperlinks>
    <hyperlink ref="I7" location="'Residential Analysis'!A1" display="back to top"/>
    <hyperlink ref="I35" location="'Residential Analysis'!A1" display="back to top"/>
    <hyperlink ref="I85" location="'Residential Analysis'!A1" display="back to top"/>
    <hyperlink ref="B3" location="ResAnalyses" display="Baseline Analyses"/>
    <hyperlink ref="B4" location="ResConsumptionAndGrossSavings" display="Consumption and Gross Savings"/>
    <hyperlink ref="B5" location="ResSummaryConsumptionAndGrossSavings" display="ResSummaryConsumptionAndGrossSavings"/>
  </hyperlink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sheetPr codeName="Sheet9">
    <tabColor theme="6" tint="0.39997558519241921"/>
  </sheetPr>
  <dimension ref="A1:AO127"/>
  <sheetViews>
    <sheetView topLeftCell="A25" workbookViewId="0">
      <selection activeCell="C47" sqref="C47"/>
    </sheetView>
  </sheetViews>
  <sheetFormatPr defaultRowHeight="15"/>
  <cols>
    <col min="1" max="6" width="11.7109375" style="69" customWidth="1"/>
    <col min="7" max="7" width="14.5703125" style="69" customWidth="1"/>
    <col min="8" max="16384" width="9.140625" style="69"/>
  </cols>
  <sheetData>
    <row r="1" spans="1:41" ht="15.75" thickBot="1"/>
    <row r="2" spans="1:41">
      <c r="A2" s="99" t="s">
        <v>204</v>
      </c>
      <c r="B2" s="100"/>
      <c r="C2" s="100"/>
      <c r="D2" s="100"/>
      <c r="F2" s="101" t="s">
        <v>205</v>
      </c>
      <c r="G2" s="102"/>
      <c r="H2" s="102"/>
      <c r="I2" s="102"/>
      <c r="J2" s="102"/>
      <c r="K2" s="103"/>
    </row>
    <row r="3" spans="1:41" ht="15.75" thickBot="1">
      <c r="A3" s="104" t="str">
        <f>A9</f>
        <v>Water Heater Parameters</v>
      </c>
      <c r="B3" s="105"/>
      <c r="C3" s="105"/>
      <c r="D3" s="105"/>
      <c r="F3" s="106" t="s">
        <v>206</v>
      </c>
      <c r="G3" s="107"/>
      <c r="H3" s="107"/>
      <c r="I3" s="107"/>
      <c r="J3" s="107"/>
      <c r="K3" s="108"/>
    </row>
    <row r="4" spans="1:41" ht="15.75" thickBot="1">
      <c r="A4" s="104" t="str">
        <f>A22</f>
        <v>Actual Flow Rate as a Percentage of Rated Flow Rate</v>
      </c>
      <c r="B4" s="105"/>
      <c r="C4" s="105"/>
      <c r="D4" s="105"/>
      <c r="F4" s="109" t="s">
        <v>207</v>
      </c>
      <c r="G4" s="110"/>
      <c r="H4" s="110"/>
      <c r="I4" s="110"/>
      <c r="J4" s="110"/>
      <c r="K4" s="111"/>
      <c r="O4" s="112"/>
      <c r="P4" s="113"/>
      <c r="Q4" s="113"/>
      <c r="R4" s="113"/>
      <c r="S4" s="113"/>
      <c r="T4" s="113"/>
      <c r="U4" s="113"/>
      <c r="V4" s="113"/>
      <c r="W4" s="114"/>
    </row>
    <row r="5" spans="1:41">
      <c r="A5" s="104" t="str">
        <f>A34</f>
        <v>Wastewater</v>
      </c>
      <c r="B5" s="105"/>
      <c r="C5" s="105"/>
      <c r="D5" s="105"/>
      <c r="O5" s="115"/>
      <c r="P5" s="116"/>
      <c r="Q5" s="116"/>
      <c r="R5" s="116"/>
      <c r="S5" s="116"/>
      <c r="T5" s="116"/>
      <c r="U5" s="116"/>
      <c r="V5" s="116"/>
      <c r="W5" s="117"/>
      <c r="Y5" s="115"/>
      <c r="Z5" s="116"/>
      <c r="AA5" s="116"/>
      <c r="AB5" s="116"/>
      <c r="AC5" s="116"/>
      <c r="AD5" s="116"/>
      <c r="AE5" s="116"/>
      <c r="AF5" s="116"/>
      <c r="AG5" s="116"/>
      <c r="AH5" s="116"/>
      <c r="AI5" s="116"/>
      <c r="AJ5" s="116"/>
      <c r="AK5" s="116"/>
      <c r="AL5" s="116"/>
      <c r="AM5" s="116"/>
      <c r="AN5" s="117"/>
    </row>
    <row r="6" spans="1:41">
      <c r="A6" s="104" t="s">
        <v>208</v>
      </c>
      <c r="B6" s="105"/>
      <c r="C6" s="105"/>
      <c r="D6" s="105"/>
      <c r="O6" s="115"/>
      <c r="P6" s="116"/>
      <c r="Q6" s="116"/>
      <c r="R6" s="116"/>
      <c r="S6" s="116"/>
      <c r="T6" s="116"/>
      <c r="U6" s="116"/>
      <c r="V6" s="116"/>
      <c r="W6" s="117"/>
      <c r="Y6" s="115"/>
      <c r="Z6" s="116"/>
      <c r="AA6" s="116"/>
      <c r="AB6" s="116"/>
      <c r="AC6" s="116"/>
      <c r="AD6" s="116"/>
      <c r="AE6" s="116"/>
      <c r="AF6" s="116"/>
      <c r="AG6" s="116"/>
      <c r="AH6" s="116"/>
      <c r="AI6" s="116"/>
      <c r="AJ6" s="116"/>
      <c r="AK6" s="116"/>
      <c r="AL6" s="116"/>
      <c r="AM6" s="116"/>
      <c r="AN6" s="117"/>
    </row>
    <row r="7" spans="1:41">
      <c r="A7" s="104" t="s">
        <v>209</v>
      </c>
      <c r="B7" s="105"/>
      <c r="C7" s="105"/>
      <c r="D7" s="105"/>
      <c r="O7" s="115"/>
      <c r="P7" s="116"/>
      <c r="Q7" s="116"/>
      <c r="R7" s="116"/>
      <c r="S7" s="116"/>
      <c r="T7" s="116"/>
      <c r="U7" s="116"/>
      <c r="V7" s="116"/>
      <c r="W7" s="117"/>
      <c r="Y7" s="115"/>
      <c r="Z7" s="116"/>
      <c r="AA7" s="116"/>
      <c r="AB7" s="116"/>
      <c r="AC7" s="116"/>
      <c r="AD7" s="116"/>
      <c r="AE7" s="116"/>
      <c r="AF7" s="116"/>
      <c r="AG7" s="116"/>
      <c r="AH7" s="116"/>
      <c r="AI7" s="116"/>
      <c r="AJ7" s="116"/>
      <c r="AK7" s="116"/>
      <c r="AL7" s="116"/>
      <c r="AM7" s="116"/>
      <c r="AN7" s="117"/>
    </row>
    <row r="8" spans="1:41">
      <c r="O8" s="115"/>
      <c r="P8" s="116"/>
      <c r="Q8" s="116"/>
      <c r="R8" s="116"/>
      <c r="S8" s="116"/>
      <c r="T8" s="116"/>
      <c r="U8" s="116"/>
      <c r="V8" s="116"/>
      <c r="W8" s="117"/>
      <c r="Y8" s="115"/>
      <c r="Z8" s="116"/>
      <c r="AA8" s="116"/>
      <c r="AB8" s="116"/>
      <c r="AC8" s="116"/>
      <c r="AD8" s="116"/>
      <c r="AE8" s="116"/>
      <c r="AF8" s="116"/>
      <c r="AG8" s="116"/>
      <c r="AH8" s="116"/>
      <c r="AI8" s="116"/>
      <c r="AJ8" s="116"/>
      <c r="AK8" s="116"/>
      <c r="AL8" s="116"/>
      <c r="AM8" s="116"/>
      <c r="AN8" s="117"/>
    </row>
    <row r="9" spans="1:41">
      <c r="A9" s="118" t="s">
        <v>210</v>
      </c>
      <c r="B9" s="119"/>
      <c r="C9" s="119"/>
      <c r="D9" s="119"/>
      <c r="E9" s="119"/>
      <c r="F9" s="119"/>
      <c r="G9" s="120" t="s">
        <v>211</v>
      </c>
      <c r="H9" s="119"/>
      <c r="I9" s="119"/>
      <c r="J9" s="119"/>
      <c r="K9" s="119"/>
      <c r="L9" s="121"/>
      <c r="M9" s="121"/>
      <c r="N9" s="121"/>
      <c r="O9" s="115"/>
      <c r="P9" s="116"/>
      <c r="Q9" s="116"/>
      <c r="R9" s="116"/>
      <c r="S9" s="116"/>
      <c r="T9" s="116"/>
      <c r="U9" s="116"/>
      <c r="V9" s="116"/>
      <c r="W9" s="117"/>
      <c r="Y9" s="115"/>
      <c r="Z9" s="116"/>
      <c r="AA9" s="116"/>
      <c r="AB9" s="116"/>
      <c r="AC9" s="116"/>
      <c r="AD9" s="116"/>
      <c r="AE9" s="116"/>
      <c r="AF9" s="116"/>
      <c r="AG9" s="116"/>
      <c r="AH9" s="116"/>
      <c r="AI9" s="116"/>
      <c r="AJ9" s="116"/>
      <c r="AK9" s="116"/>
      <c r="AL9" s="116"/>
      <c r="AM9" s="116"/>
      <c r="AN9" s="117"/>
      <c r="AO9" s="116"/>
    </row>
    <row r="10" spans="1:41">
      <c r="B10" s="122"/>
      <c r="C10" s="121"/>
      <c r="D10" s="121"/>
      <c r="E10" s="121"/>
      <c r="F10" s="121"/>
      <c r="G10" s="121"/>
      <c r="H10" s="121"/>
      <c r="I10" s="121"/>
      <c r="J10" s="121"/>
      <c r="K10" s="121"/>
      <c r="L10" s="121"/>
      <c r="M10" s="121"/>
      <c r="N10" s="121"/>
      <c r="O10" s="115"/>
      <c r="P10" s="116"/>
      <c r="Q10" s="116"/>
      <c r="R10" s="116"/>
      <c r="S10" s="116"/>
      <c r="T10" s="116"/>
      <c r="U10" s="116"/>
      <c r="V10" s="116"/>
      <c r="W10" s="117"/>
      <c r="Y10" s="115"/>
      <c r="Z10" s="116"/>
      <c r="AA10" s="116"/>
      <c r="AB10" s="116"/>
      <c r="AC10" s="116"/>
      <c r="AD10" s="116"/>
      <c r="AE10" s="116"/>
      <c r="AF10" s="116"/>
      <c r="AG10" s="116"/>
      <c r="AH10" s="116"/>
      <c r="AI10" s="116"/>
      <c r="AJ10" s="116"/>
      <c r="AK10" s="116"/>
      <c r="AL10" s="116"/>
      <c r="AM10" s="116"/>
      <c r="AN10" s="117"/>
      <c r="AO10" s="116"/>
    </row>
    <row r="11" spans="1:41" ht="15.75" thickBot="1">
      <c r="A11" s="123" t="s">
        <v>212</v>
      </c>
      <c r="B11" s="123"/>
      <c r="C11" s="124"/>
      <c r="D11" s="124"/>
      <c r="E11" s="121"/>
      <c r="F11" s="121"/>
      <c r="G11" s="121"/>
      <c r="H11" s="121"/>
      <c r="I11" s="121"/>
      <c r="J11" s="121"/>
      <c r="K11" s="121"/>
      <c r="L11" s="121"/>
      <c r="M11" s="121"/>
      <c r="N11" s="121"/>
      <c r="O11" s="115"/>
      <c r="P11" s="116"/>
      <c r="Q11" s="116"/>
      <c r="R11" s="116"/>
      <c r="S11" s="116"/>
      <c r="T11" s="116"/>
      <c r="U11" s="116"/>
      <c r="V11" s="116"/>
      <c r="W11" s="117"/>
      <c r="Y11" s="115"/>
      <c r="Z11" s="116"/>
      <c r="AA11" s="116"/>
      <c r="AB11" s="116"/>
      <c r="AC11" s="116"/>
      <c r="AD11" s="116"/>
      <c r="AE11" s="116"/>
      <c r="AF11" s="116"/>
      <c r="AG11" s="116"/>
      <c r="AH11" s="116"/>
      <c r="AI11" s="116"/>
      <c r="AJ11" s="116"/>
      <c r="AK11" s="116"/>
      <c r="AL11" s="116"/>
      <c r="AM11" s="116"/>
      <c r="AN11" s="117"/>
      <c r="AO11" s="116"/>
    </row>
    <row r="12" spans="1:41" ht="16.5" thickTop="1" thickBot="1">
      <c r="A12" s="358" t="s">
        <v>200</v>
      </c>
      <c r="B12" s="359"/>
      <c r="C12" s="360"/>
      <c r="D12" s="125">
        <v>0.98</v>
      </c>
      <c r="E12" s="121"/>
      <c r="F12" s="121"/>
      <c r="G12" s="296">
        <v>2</v>
      </c>
      <c r="H12" s="297" t="s">
        <v>551</v>
      </c>
      <c r="I12" s="297"/>
      <c r="J12" s="121"/>
      <c r="K12" s="121"/>
      <c r="L12" s="121"/>
      <c r="M12" s="121"/>
      <c r="N12" s="121"/>
      <c r="O12" s="115"/>
      <c r="P12" s="116"/>
      <c r="Q12" s="116"/>
      <c r="R12" s="116"/>
      <c r="S12" s="116"/>
      <c r="T12" s="116"/>
      <c r="U12" s="116"/>
      <c r="V12" s="116"/>
      <c r="W12" s="117"/>
      <c r="Y12" s="115"/>
      <c r="Z12" s="116"/>
      <c r="AA12" s="116"/>
      <c r="AB12" s="116"/>
      <c r="AC12" s="116"/>
      <c r="AD12" s="116"/>
      <c r="AE12" s="116"/>
      <c r="AF12" s="116"/>
      <c r="AG12" s="116"/>
      <c r="AH12" s="116"/>
      <c r="AI12" s="116"/>
      <c r="AJ12" s="116"/>
      <c r="AK12" s="116"/>
      <c r="AL12" s="116"/>
      <c r="AM12" s="116"/>
      <c r="AN12" s="117"/>
      <c r="AO12" s="116"/>
    </row>
    <row r="13" spans="1:41" ht="16.5" thickTop="1" thickBot="1">
      <c r="A13" s="358" t="s">
        <v>201</v>
      </c>
      <c r="B13" s="359"/>
      <c r="C13" s="360"/>
      <c r="D13" s="125">
        <v>0.75</v>
      </c>
      <c r="E13" s="121"/>
      <c r="F13" s="121"/>
      <c r="G13" s="121"/>
      <c r="H13" s="121"/>
      <c r="I13" s="121"/>
      <c r="J13" s="121"/>
      <c r="K13" s="121"/>
      <c r="L13" s="121"/>
      <c r="M13" s="121"/>
      <c r="N13" s="121"/>
      <c r="O13" s="115"/>
      <c r="P13" s="116"/>
      <c r="Q13" s="116"/>
      <c r="R13" s="116"/>
      <c r="S13" s="116"/>
      <c r="T13" s="116"/>
      <c r="U13" s="116"/>
      <c r="V13" s="116"/>
      <c r="W13" s="117"/>
      <c r="Y13" s="115"/>
      <c r="Z13" s="116"/>
      <c r="AA13" s="116"/>
      <c r="AB13" s="116"/>
      <c r="AC13" s="116"/>
      <c r="AD13" s="116"/>
      <c r="AE13" s="116"/>
      <c r="AF13" s="116"/>
      <c r="AG13" s="116"/>
      <c r="AH13" s="116"/>
      <c r="AI13" s="116"/>
      <c r="AJ13" s="116"/>
      <c r="AK13" s="116"/>
      <c r="AL13" s="116"/>
      <c r="AM13" s="116"/>
      <c r="AN13" s="117"/>
      <c r="AO13" s="116"/>
    </row>
    <row r="14" spans="1:41" ht="16.5" thickTop="1" thickBot="1">
      <c r="A14" s="123" t="s">
        <v>213</v>
      </c>
      <c r="B14" s="123"/>
      <c r="C14" s="126"/>
      <c r="D14" s="127"/>
      <c r="E14" s="121"/>
      <c r="F14" s="121"/>
      <c r="G14" s="121"/>
      <c r="H14" s="121"/>
      <c r="I14" s="121"/>
      <c r="J14" s="121"/>
      <c r="K14" s="121"/>
      <c r="L14" s="121"/>
      <c r="M14" s="121"/>
      <c r="N14" s="121"/>
      <c r="O14" s="115"/>
      <c r="P14" s="116"/>
      <c r="Q14" s="116"/>
      <c r="R14" s="116"/>
      <c r="S14" s="116"/>
      <c r="T14" s="116"/>
      <c r="U14" s="116"/>
      <c r="V14" s="116"/>
      <c r="W14" s="117"/>
      <c r="Y14" s="115"/>
      <c r="Z14" s="116"/>
      <c r="AA14" s="116"/>
      <c r="AB14" s="116"/>
      <c r="AC14" s="116"/>
      <c r="AD14" s="116"/>
      <c r="AE14" s="116"/>
      <c r="AF14" s="116"/>
      <c r="AG14" s="116"/>
      <c r="AH14" s="116"/>
      <c r="AI14" s="116"/>
      <c r="AJ14" s="116"/>
      <c r="AK14" s="116"/>
      <c r="AL14" s="116"/>
      <c r="AM14" s="116"/>
      <c r="AN14" s="117"/>
      <c r="AO14" s="116"/>
    </row>
    <row r="15" spans="1:41" ht="16.5" thickTop="1" thickBot="1">
      <c r="A15" s="358" t="s">
        <v>214</v>
      </c>
      <c r="B15" s="359"/>
      <c r="C15" s="360"/>
      <c r="D15" s="128">
        <f>D17*29.3</f>
        <v>2.4436200000000001E-3</v>
      </c>
      <c r="E15" s="121"/>
      <c r="F15" s="121"/>
      <c r="G15" s="121"/>
      <c r="H15" s="121"/>
      <c r="I15" s="121"/>
      <c r="J15" s="121"/>
      <c r="K15" s="121"/>
      <c r="L15" s="121"/>
      <c r="M15" s="121"/>
      <c r="N15" s="121"/>
      <c r="O15" s="115"/>
      <c r="P15" s="116"/>
      <c r="Q15" s="116"/>
      <c r="R15" s="116"/>
      <c r="S15" s="116"/>
      <c r="T15" s="116"/>
      <c r="U15" s="116"/>
      <c r="V15" s="116"/>
      <c r="W15" s="117"/>
      <c r="Y15" s="115"/>
      <c r="Z15" s="116"/>
      <c r="AA15" s="116"/>
      <c r="AB15" s="116"/>
      <c r="AC15" s="116"/>
      <c r="AD15" s="116"/>
      <c r="AE15" s="116"/>
      <c r="AF15" s="116"/>
      <c r="AG15" s="116"/>
      <c r="AH15" s="116"/>
      <c r="AI15" s="116"/>
      <c r="AJ15" s="116"/>
      <c r="AK15" s="116"/>
      <c r="AL15" s="116"/>
      <c r="AM15" s="116"/>
      <c r="AN15" s="117"/>
      <c r="AO15" s="116"/>
    </row>
    <row r="16" spans="1:41" ht="16.5" thickTop="1" thickBot="1">
      <c r="A16" s="358" t="s">
        <v>215</v>
      </c>
      <c r="B16" s="359"/>
      <c r="C16" s="360"/>
      <c r="D16" s="129">
        <v>8.34</v>
      </c>
      <c r="E16" s="121"/>
      <c r="F16" s="121"/>
      <c r="G16" s="121"/>
      <c r="H16" s="121"/>
      <c r="I16" s="121"/>
      <c r="J16" s="121"/>
      <c r="K16" s="121"/>
      <c r="L16" s="121"/>
      <c r="M16" s="121"/>
      <c r="N16" s="121"/>
      <c r="O16" s="361" t="s">
        <v>216</v>
      </c>
      <c r="P16" s="349"/>
      <c r="Q16" s="349"/>
      <c r="R16" s="349"/>
      <c r="S16" s="349"/>
      <c r="T16" s="349"/>
      <c r="U16" s="349"/>
      <c r="V16" s="349"/>
      <c r="W16" s="353"/>
      <c r="Y16" s="115"/>
      <c r="Z16" s="116"/>
      <c r="AA16" s="116"/>
      <c r="AB16" s="116"/>
      <c r="AC16" s="116"/>
      <c r="AD16" s="116"/>
      <c r="AE16" s="116"/>
      <c r="AF16" s="116"/>
      <c r="AG16" s="116"/>
      <c r="AH16" s="116"/>
      <c r="AI16" s="116"/>
      <c r="AJ16" s="116"/>
      <c r="AK16" s="116"/>
      <c r="AL16" s="116"/>
      <c r="AM16" s="116"/>
      <c r="AN16" s="117"/>
      <c r="AO16" s="116"/>
    </row>
    <row r="17" spans="1:41" ht="16.5" customHeight="1" thickTop="1" thickBot="1">
      <c r="A17" s="358" t="s">
        <v>217</v>
      </c>
      <c r="B17" s="359"/>
      <c r="C17" s="360"/>
      <c r="D17" s="129">
        <f>D16/100000</f>
        <v>8.3399999999999994E-5</v>
      </c>
      <c r="E17" s="121"/>
      <c r="F17" s="121"/>
      <c r="G17" s="121"/>
      <c r="H17" s="121"/>
      <c r="I17" s="121"/>
      <c r="J17" s="121"/>
      <c r="K17" s="121"/>
      <c r="L17" s="121"/>
      <c r="M17" s="121"/>
      <c r="N17" s="121"/>
      <c r="O17" s="361"/>
      <c r="P17" s="349"/>
      <c r="Q17" s="349"/>
      <c r="R17" s="349"/>
      <c r="S17" s="349"/>
      <c r="T17" s="349"/>
      <c r="U17" s="349"/>
      <c r="V17" s="349"/>
      <c r="W17" s="353"/>
      <c r="Y17" s="115"/>
      <c r="Z17" s="116"/>
      <c r="AA17" s="116"/>
      <c r="AB17" s="116"/>
      <c r="AC17" s="116"/>
      <c r="AD17" s="116"/>
      <c r="AE17" s="116"/>
      <c r="AF17" s="116"/>
      <c r="AG17" s="116"/>
      <c r="AH17" s="116"/>
      <c r="AI17" s="116"/>
      <c r="AJ17" s="116"/>
      <c r="AK17" s="116"/>
      <c r="AL17" s="116"/>
      <c r="AM17" s="116"/>
      <c r="AN17" s="117"/>
      <c r="AO17" s="116"/>
    </row>
    <row r="18" spans="1:41" ht="16.5" thickTop="1" thickBot="1">
      <c r="A18" s="123" t="s">
        <v>218</v>
      </c>
      <c r="B18" s="123"/>
      <c r="C18" s="126"/>
      <c r="D18" s="127"/>
      <c r="E18" s="121"/>
      <c r="F18" s="121"/>
      <c r="G18" s="121"/>
      <c r="H18" s="121"/>
      <c r="I18" s="121"/>
      <c r="J18" s="121"/>
      <c r="K18" s="121"/>
      <c r="L18" s="121"/>
      <c r="M18" s="121"/>
      <c r="N18" s="121"/>
      <c r="O18" s="361"/>
      <c r="P18" s="349"/>
      <c r="Q18" s="349"/>
      <c r="R18" s="349"/>
      <c r="S18" s="349"/>
      <c r="T18" s="349"/>
      <c r="U18" s="349"/>
      <c r="V18" s="349"/>
      <c r="W18" s="353"/>
      <c r="Y18" s="115"/>
      <c r="Z18" s="116"/>
      <c r="AA18" s="116"/>
      <c r="AB18" s="116"/>
      <c r="AC18" s="116"/>
      <c r="AD18" s="116"/>
      <c r="AE18" s="116"/>
      <c r="AF18" s="116"/>
      <c r="AG18" s="116"/>
      <c r="AH18" s="116"/>
      <c r="AI18" s="116"/>
      <c r="AJ18" s="116"/>
      <c r="AK18" s="116"/>
      <c r="AL18" s="116"/>
      <c r="AM18" s="116"/>
      <c r="AN18" s="117"/>
      <c r="AO18" s="116"/>
    </row>
    <row r="19" spans="1:41" ht="16.5" thickTop="1" thickBot="1">
      <c r="A19" s="358" t="s">
        <v>219</v>
      </c>
      <c r="B19" s="359"/>
      <c r="C19" s="360"/>
      <c r="D19" s="125">
        <f>[2]SATS!$C$47</f>
        <v>0.55200000000000005</v>
      </c>
      <c r="E19" s="130" t="s">
        <v>55</v>
      </c>
      <c r="G19" s="121"/>
      <c r="H19" s="121"/>
      <c r="I19" s="121"/>
      <c r="J19" s="121"/>
      <c r="K19" s="121"/>
      <c r="L19" s="121"/>
      <c r="M19" s="121"/>
      <c r="N19" s="121"/>
      <c r="O19" s="362"/>
      <c r="P19" s="354"/>
      <c r="Q19" s="354"/>
      <c r="R19" s="354"/>
      <c r="S19" s="354"/>
      <c r="T19" s="354"/>
      <c r="U19" s="354"/>
      <c r="V19" s="354"/>
      <c r="W19" s="355"/>
      <c r="Y19" s="115"/>
      <c r="Z19" s="116"/>
      <c r="AA19" s="116"/>
      <c r="AB19" s="116"/>
      <c r="AC19" s="116"/>
      <c r="AD19" s="116"/>
      <c r="AE19" s="116"/>
      <c r="AF19" s="116"/>
      <c r="AG19" s="116"/>
      <c r="AH19" s="116"/>
      <c r="AI19" s="116"/>
      <c r="AJ19" s="116"/>
      <c r="AK19" s="116"/>
      <c r="AL19" s="116"/>
      <c r="AM19" s="116"/>
      <c r="AN19" s="117"/>
      <c r="AO19" s="116"/>
    </row>
    <row r="20" spans="1:41" ht="15.75" thickTop="1">
      <c r="A20" s="121" t="s">
        <v>644</v>
      </c>
      <c r="B20" s="121"/>
      <c r="C20" s="121"/>
      <c r="D20" s="121">
        <v>2.72</v>
      </c>
      <c r="E20" s="121" t="s">
        <v>55</v>
      </c>
      <c r="F20" s="121"/>
      <c r="G20" s="121"/>
      <c r="H20" s="121"/>
      <c r="I20" s="121"/>
      <c r="J20" s="121"/>
      <c r="K20" s="121"/>
      <c r="L20" s="121"/>
      <c r="M20" s="121"/>
      <c r="N20" s="121"/>
      <c r="Y20" s="115"/>
      <c r="Z20" s="116"/>
      <c r="AA20" s="116"/>
      <c r="AB20" s="116"/>
      <c r="AC20" s="116"/>
      <c r="AD20" s="116"/>
      <c r="AE20" s="116"/>
      <c r="AF20" s="116"/>
      <c r="AG20" s="116"/>
      <c r="AH20" s="116"/>
      <c r="AI20" s="116"/>
      <c r="AJ20" s="116"/>
      <c r="AK20" s="116"/>
      <c r="AL20" s="116"/>
      <c r="AM20" s="116"/>
      <c r="AN20" s="117"/>
      <c r="AO20" s="116"/>
    </row>
    <row r="21" spans="1:41">
      <c r="A21" s="121"/>
      <c r="B21" s="121"/>
      <c r="C21" s="121"/>
      <c r="D21" s="121"/>
      <c r="E21" s="121"/>
      <c r="F21" s="121"/>
      <c r="G21" s="121"/>
      <c r="H21" s="121"/>
      <c r="I21" s="121"/>
      <c r="J21" s="121"/>
      <c r="K21" s="121"/>
      <c r="L21" s="121"/>
      <c r="M21" s="121"/>
      <c r="N21" s="121"/>
      <c r="Y21" s="115"/>
      <c r="Z21" s="116"/>
      <c r="AA21" s="116"/>
      <c r="AB21" s="116"/>
      <c r="AC21" s="116"/>
      <c r="AD21" s="116"/>
      <c r="AE21" s="116"/>
      <c r="AF21" s="116"/>
      <c r="AG21" s="116"/>
      <c r="AH21" s="116"/>
      <c r="AI21" s="116"/>
      <c r="AJ21" s="116"/>
      <c r="AK21" s="116"/>
      <c r="AL21" s="116"/>
      <c r="AM21" s="116"/>
      <c r="AN21" s="117"/>
      <c r="AO21" s="116"/>
    </row>
    <row r="22" spans="1:41">
      <c r="A22" s="131" t="s">
        <v>220</v>
      </c>
      <c r="B22" s="119"/>
      <c r="C22" s="119"/>
      <c r="D22" s="119"/>
      <c r="E22" s="119"/>
      <c r="F22" s="119"/>
      <c r="G22" s="120" t="s">
        <v>211</v>
      </c>
      <c r="H22" s="119"/>
      <c r="I22" s="119"/>
      <c r="J22" s="119"/>
      <c r="K22" s="119"/>
      <c r="L22" s="121"/>
      <c r="M22" s="121"/>
      <c r="N22" s="121"/>
      <c r="Y22" s="115"/>
      <c r="Z22" s="116"/>
      <c r="AA22" s="116"/>
      <c r="AB22" s="116"/>
      <c r="AC22" s="116"/>
      <c r="AD22" s="116"/>
      <c r="AE22" s="116"/>
      <c r="AF22" s="116"/>
      <c r="AG22" s="116"/>
      <c r="AH22" s="116"/>
      <c r="AI22" s="116"/>
      <c r="AJ22" s="116"/>
      <c r="AK22" s="116"/>
      <c r="AL22" s="116"/>
      <c r="AM22" s="116"/>
      <c r="AN22" s="117"/>
      <c r="AO22" s="116"/>
    </row>
    <row r="23" spans="1:41" ht="15.75" thickBot="1">
      <c r="A23" s="132"/>
      <c r="B23" s="121"/>
      <c r="C23" s="121"/>
      <c r="D23" s="121"/>
      <c r="E23" s="121"/>
      <c r="F23" s="121"/>
      <c r="G23" s="121"/>
      <c r="H23" s="133" t="s">
        <v>221</v>
      </c>
      <c r="I23" s="121"/>
      <c r="J23" s="121"/>
      <c r="K23" s="121"/>
      <c r="L23" s="121"/>
      <c r="M23" s="121"/>
      <c r="N23" s="121"/>
      <c r="Y23" s="115"/>
      <c r="Z23" s="116"/>
      <c r="AA23" s="116"/>
      <c r="AB23" s="116"/>
      <c r="AC23" s="116"/>
      <c r="AD23" s="116"/>
      <c r="AE23" s="116"/>
      <c r="AF23" s="116"/>
      <c r="AG23" s="116"/>
      <c r="AH23" s="116"/>
      <c r="AI23" s="116"/>
      <c r="AJ23" s="116"/>
      <c r="AK23" s="116"/>
      <c r="AL23" s="116"/>
      <c r="AM23" s="116"/>
      <c r="AN23" s="117"/>
      <c r="AO23" s="116"/>
    </row>
    <row r="24" spans="1:41" ht="16.5" thickTop="1" thickBot="1">
      <c r="A24" s="121"/>
      <c r="B24" s="356" t="s">
        <v>222</v>
      </c>
      <c r="C24" s="357"/>
      <c r="D24" s="356" t="s">
        <v>223</v>
      </c>
      <c r="E24" s="357"/>
      <c r="F24" s="356" t="s">
        <v>224</v>
      </c>
      <c r="G24" s="357"/>
      <c r="H24" s="121" t="s">
        <v>225</v>
      </c>
      <c r="I24" s="121"/>
      <c r="J24" s="121"/>
      <c r="K24" s="121"/>
      <c r="L24" s="121"/>
      <c r="M24" s="121"/>
      <c r="N24" s="121"/>
      <c r="Y24" s="115"/>
      <c r="Z24" s="349" t="s">
        <v>226</v>
      </c>
      <c r="AA24" s="349"/>
      <c r="AB24" s="349"/>
      <c r="AC24" s="349"/>
      <c r="AD24" s="349"/>
      <c r="AE24" s="349"/>
      <c r="AF24" s="349"/>
      <c r="AG24" s="349"/>
      <c r="AH24" s="349"/>
      <c r="AI24" s="349"/>
      <c r="AJ24" s="349"/>
      <c r="AK24" s="349"/>
      <c r="AL24" s="349"/>
      <c r="AM24" s="349"/>
      <c r="AN24" s="353"/>
      <c r="AO24" s="116"/>
    </row>
    <row r="25" spans="1:41" ht="46.5" thickTop="1" thickBot="1">
      <c r="A25" s="134" t="s">
        <v>227</v>
      </c>
      <c r="B25" s="135" t="s">
        <v>228</v>
      </c>
      <c r="C25" s="135" t="s">
        <v>229</v>
      </c>
      <c r="D25" s="135" t="s">
        <v>230</v>
      </c>
      <c r="E25" s="135" t="s">
        <v>231</v>
      </c>
      <c r="F25" s="135" t="s">
        <v>169</v>
      </c>
      <c r="G25" s="136" t="s">
        <v>232</v>
      </c>
      <c r="H25" s="133" t="s">
        <v>233</v>
      </c>
      <c r="I25" s="121"/>
      <c r="J25" s="121"/>
      <c r="K25" s="137"/>
      <c r="L25" s="137"/>
      <c r="M25" s="137"/>
      <c r="N25" s="137"/>
      <c r="Y25" s="138"/>
      <c r="Z25" s="354"/>
      <c r="AA25" s="354"/>
      <c r="AB25" s="354"/>
      <c r="AC25" s="354"/>
      <c r="AD25" s="354"/>
      <c r="AE25" s="354"/>
      <c r="AF25" s="354"/>
      <c r="AG25" s="354"/>
      <c r="AH25" s="354"/>
      <c r="AI25" s="354"/>
      <c r="AJ25" s="354"/>
      <c r="AK25" s="354"/>
      <c r="AL25" s="354"/>
      <c r="AM25" s="354"/>
      <c r="AN25" s="355"/>
      <c r="AO25" s="116"/>
    </row>
    <row r="26" spans="1:41" ht="16.5" thickTop="1" thickBot="1">
      <c r="A26" s="139">
        <v>2.5</v>
      </c>
      <c r="B26" s="140">
        <v>2.2000000000000002</v>
      </c>
      <c r="C26" s="141">
        <v>0.9</v>
      </c>
      <c r="D26" s="142">
        <v>7.84</v>
      </c>
      <c r="E26" s="141">
        <v>1</v>
      </c>
      <c r="F26" s="143">
        <v>0.73099999999999998</v>
      </c>
      <c r="G26" s="144">
        <f>55*(1-F26)+128*(F26)</f>
        <v>108.363</v>
      </c>
      <c r="H26" s="145" t="s">
        <v>234</v>
      </c>
      <c r="I26" s="121"/>
      <c r="J26" s="121"/>
      <c r="K26" s="121"/>
      <c r="L26" s="121"/>
      <c r="M26" s="121"/>
      <c r="N26" s="121"/>
    </row>
    <row r="27" spans="1:41" ht="16.5" thickTop="1" thickBot="1">
      <c r="A27" s="146">
        <v>2</v>
      </c>
      <c r="B27" s="140">
        <f>A27*C27</f>
        <v>1.8</v>
      </c>
      <c r="C27" s="141">
        <v>0.9</v>
      </c>
      <c r="D27" s="140">
        <f>E27*$D$26</f>
        <v>7.84</v>
      </c>
      <c r="E27" s="141">
        <v>1</v>
      </c>
      <c r="F27" s="143">
        <v>0.755</v>
      </c>
      <c r="G27" s="144">
        <f>55*(1-F27)+128*(F27)</f>
        <v>110.11499999999999</v>
      </c>
      <c r="H27" s="69" t="s">
        <v>235</v>
      </c>
      <c r="I27" s="121"/>
      <c r="J27" s="121"/>
      <c r="K27" s="121"/>
      <c r="L27" s="121"/>
      <c r="M27" s="121"/>
      <c r="N27" s="121"/>
      <c r="Y27" s="112"/>
      <c r="Z27" s="113"/>
      <c r="AA27" s="113"/>
      <c r="AB27" s="113"/>
      <c r="AC27" s="113"/>
      <c r="AD27" s="113"/>
      <c r="AE27" s="113"/>
      <c r="AF27" s="113"/>
      <c r="AG27" s="113"/>
      <c r="AH27" s="113"/>
      <c r="AI27" s="113"/>
      <c r="AJ27" s="113"/>
      <c r="AK27" s="113"/>
      <c r="AL27" s="113"/>
      <c r="AM27" s="113"/>
      <c r="AN27" s="113"/>
      <c r="AO27" s="114"/>
    </row>
    <row r="28" spans="1:41" ht="16.5" thickTop="1" thickBot="1">
      <c r="A28" s="146">
        <v>1.75</v>
      </c>
      <c r="B28" s="140">
        <f>A28*C28</f>
        <v>1.575</v>
      </c>
      <c r="C28" s="141">
        <v>0.9</v>
      </c>
      <c r="D28" s="140">
        <f>E28*$D$26</f>
        <v>7.84</v>
      </c>
      <c r="E28" s="141">
        <v>1</v>
      </c>
      <c r="F28" s="147">
        <f>F27+((B27-B28)*($F$27-$F$26)/($B$26-$B$27))</f>
        <v>0.76850000000000007</v>
      </c>
      <c r="G28" s="144">
        <f>55*(1-F28)+128*(F28)</f>
        <v>111.10050000000001</v>
      </c>
      <c r="H28" s="121" t="s">
        <v>236</v>
      </c>
      <c r="I28" s="121"/>
      <c r="J28" s="121"/>
      <c r="K28" s="121"/>
      <c r="L28" s="121"/>
      <c r="M28" s="121"/>
      <c r="N28" s="121"/>
      <c r="Y28" s="115"/>
      <c r="Z28" s="116"/>
      <c r="AA28" s="116"/>
      <c r="AB28" s="116"/>
      <c r="AC28" s="116"/>
      <c r="AD28" s="116"/>
      <c r="AE28" s="116"/>
      <c r="AF28" s="116"/>
      <c r="AG28" s="116"/>
      <c r="AH28" s="116"/>
      <c r="AI28" s="116"/>
      <c r="AJ28" s="116"/>
      <c r="AK28" s="116"/>
      <c r="AL28" s="116"/>
      <c r="AM28" s="116"/>
      <c r="AN28" s="116"/>
      <c r="AO28" s="117"/>
    </row>
    <row r="29" spans="1:41" ht="16.5" thickTop="1" thickBot="1">
      <c r="A29" s="146">
        <v>1.5</v>
      </c>
      <c r="B29" s="140">
        <f>A29*C29</f>
        <v>1.35</v>
      </c>
      <c r="C29" s="141">
        <v>0.9</v>
      </c>
      <c r="D29" s="140">
        <f>E29*$D$26</f>
        <v>7.84</v>
      </c>
      <c r="E29" s="141">
        <v>1</v>
      </c>
      <c r="F29" s="147">
        <f>F28+((B28-B29)*($F$27-$F$26)/($B$26-$B$27))</f>
        <v>0.78200000000000003</v>
      </c>
      <c r="G29" s="144">
        <f>55*(1-F29)+128*(F29)</f>
        <v>112.086</v>
      </c>
      <c r="H29" s="133" t="s">
        <v>237</v>
      </c>
      <c r="I29" s="121"/>
      <c r="J29" s="121"/>
      <c r="K29" s="121"/>
      <c r="L29" s="121"/>
      <c r="M29" s="121"/>
      <c r="N29" s="121"/>
      <c r="Y29" s="115"/>
      <c r="Z29" s="116"/>
      <c r="AA29" s="116"/>
      <c r="AB29" s="116"/>
      <c r="AC29" s="116"/>
      <c r="AD29" s="116"/>
      <c r="AE29" s="116"/>
      <c r="AF29" s="116"/>
      <c r="AG29" s="116"/>
      <c r="AH29" s="116"/>
      <c r="AI29" s="116"/>
      <c r="AJ29" s="116"/>
      <c r="AK29" s="116"/>
      <c r="AL29" s="116"/>
      <c r="AM29" s="116"/>
      <c r="AN29" s="116"/>
      <c r="AO29" s="117"/>
    </row>
    <row r="30" spans="1:41" ht="15.75" thickTop="1">
      <c r="A30" s="121"/>
      <c r="B30" s="121"/>
      <c r="C30" s="121"/>
      <c r="D30" s="121"/>
      <c r="E30" s="121"/>
      <c r="F30" s="121"/>
      <c r="G30" s="121"/>
      <c r="H30" s="121" t="s">
        <v>238</v>
      </c>
      <c r="I30" s="121"/>
      <c r="J30" s="121"/>
      <c r="K30" s="121"/>
      <c r="L30" s="121"/>
      <c r="M30" s="121"/>
      <c r="N30" s="121"/>
      <c r="Y30" s="115"/>
      <c r="Z30" s="116"/>
      <c r="AA30" s="116"/>
      <c r="AB30" s="116"/>
      <c r="AC30" s="116"/>
      <c r="AD30" s="116"/>
      <c r="AE30" s="116"/>
      <c r="AF30" s="116"/>
      <c r="AG30" s="116"/>
      <c r="AH30" s="116"/>
      <c r="AI30" s="116"/>
      <c r="AJ30" s="116"/>
      <c r="AK30" s="116"/>
      <c r="AL30" s="116"/>
      <c r="AM30" s="116"/>
      <c r="AN30" s="116"/>
      <c r="AO30" s="117"/>
    </row>
    <row r="31" spans="1:41">
      <c r="A31" s="121"/>
      <c r="B31" s="121"/>
      <c r="C31" s="121"/>
      <c r="D31" s="121"/>
      <c r="E31" s="121"/>
      <c r="F31" s="121"/>
      <c r="G31" s="121"/>
      <c r="H31" s="148" t="s">
        <v>239</v>
      </c>
      <c r="I31" s="121"/>
      <c r="J31" s="121"/>
      <c r="K31" s="121"/>
      <c r="L31" s="121"/>
      <c r="M31" s="121"/>
      <c r="N31" s="121"/>
      <c r="Y31" s="115"/>
      <c r="Z31" s="116"/>
      <c r="AA31" s="116"/>
      <c r="AB31" s="116"/>
      <c r="AC31" s="116"/>
      <c r="AD31" s="116"/>
      <c r="AE31" s="116"/>
      <c r="AF31" s="116"/>
      <c r="AG31" s="116"/>
      <c r="AH31" s="116"/>
      <c r="AI31" s="116"/>
      <c r="AJ31" s="116"/>
      <c r="AK31" s="116"/>
      <c r="AL31" s="116"/>
      <c r="AM31" s="116"/>
      <c r="AN31" s="116"/>
      <c r="AO31" s="117"/>
    </row>
    <row r="32" spans="1:41">
      <c r="A32" s="121"/>
      <c r="B32" s="121"/>
      <c r="C32" s="121"/>
      <c r="D32" s="121"/>
      <c r="E32" s="121"/>
      <c r="F32" s="121"/>
      <c r="G32" s="121"/>
      <c r="H32" s="148"/>
      <c r="I32" s="121"/>
      <c r="J32" s="121"/>
      <c r="K32" s="121"/>
      <c r="L32" s="121"/>
      <c r="M32" s="121"/>
      <c r="N32" s="121"/>
      <c r="Y32" s="115"/>
      <c r="Z32" s="116"/>
      <c r="AA32" s="116"/>
      <c r="AB32" s="116"/>
      <c r="AC32" s="116"/>
      <c r="AD32" s="116"/>
      <c r="AE32" s="116"/>
      <c r="AF32" s="116"/>
      <c r="AG32" s="116"/>
      <c r="AH32" s="116"/>
      <c r="AI32" s="116"/>
      <c r="AJ32" s="116"/>
      <c r="AK32" s="116"/>
      <c r="AL32" s="116"/>
      <c r="AM32" s="116"/>
      <c r="AN32" s="116"/>
      <c r="AO32" s="117"/>
    </row>
    <row r="33" spans="1:41">
      <c r="F33" s="121"/>
      <c r="G33" s="121"/>
      <c r="H33" s="121"/>
      <c r="Y33" s="115"/>
      <c r="Z33" s="116"/>
      <c r="AA33" s="116"/>
      <c r="AB33" s="116"/>
      <c r="AC33" s="116"/>
      <c r="AD33" s="116"/>
      <c r="AE33" s="116"/>
      <c r="AF33" s="116"/>
      <c r="AG33" s="116"/>
      <c r="AH33" s="116"/>
      <c r="AI33" s="116"/>
      <c r="AJ33" s="116"/>
      <c r="AK33" s="116"/>
      <c r="AL33" s="116"/>
      <c r="AM33" s="116"/>
      <c r="AN33" s="116"/>
      <c r="AO33" s="117"/>
    </row>
    <row r="34" spans="1:41">
      <c r="A34" s="152" t="s">
        <v>241</v>
      </c>
      <c r="B34" s="153"/>
      <c r="C34" s="153"/>
      <c r="D34" s="153"/>
      <c r="E34" s="153"/>
      <c r="F34" s="119"/>
      <c r="G34" s="120" t="s">
        <v>211</v>
      </c>
      <c r="H34" s="119"/>
      <c r="I34" s="153"/>
      <c r="J34" s="153"/>
      <c r="K34" s="153"/>
      <c r="Y34" s="115"/>
      <c r="Z34" s="116"/>
      <c r="AA34" s="116"/>
      <c r="AB34" s="116"/>
      <c r="AC34" s="116"/>
      <c r="AD34" s="116"/>
      <c r="AE34" s="116"/>
      <c r="AF34" s="116"/>
      <c r="AG34" s="116"/>
      <c r="AH34" s="116"/>
      <c r="AI34" s="116"/>
      <c r="AJ34" s="116"/>
      <c r="AK34" s="116"/>
      <c r="AL34" s="116"/>
      <c r="AM34" s="116"/>
      <c r="AN34" s="116"/>
      <c r="AO34" s="117"/>
    </row>
    <row r="35" spans="1:41" ht="15.75" customHeight="1">
      <c r="A35" s="121"/>
      <c r="B35" s="121"/>
      <c r="C35" s="121"/>
      <c r="D35" s="121"/>
      <c r="E35" s="121"/>
      <c r="F35" s="121"/>
      <c r="G35" s="121"/>
      <c r="H35" s="121"/>
      <c r="Y35" s="115"/>
      <c r="Z35" s="116"/>
      <c r="AA35" s="116"/>
      <c r="AB35" s="116"/>
      <c r="AC35" s="116"/>
      <c r="AD35" s="116"/>
      <c r="AE35" s="116"/>
      <c r="AF35" s="116"/>
      <c r="AG35" s="116"/>
      <c r="AH35" s="116"/>
      <c r="AI35" s="116"/>
      <c r="AJ35" s="116"/>
      <c r="AK35" s="116"/>
      <c r="AL35" s="116"/>
      <c r="AM35" s="116"/>
      <c r="AN35" s="116"/>
      <c r="AO35" s="117"/>
    </row>
    <row r="36" spans="1:41" ht="15.75" thickBot="1">
      <c r="A36" s="69" t="s">
        <v>641</v>
      </c>
      <c r="Y36" s="115"/>
      <c r="Z36" s="116"/>
      <c r="AA36" s="116"/>
      <c r="AB36" s="116"/>
      <c r="AC36" s="116"/>
      <c r="AD36" s="116"/>
      <c r="AE36" s="116"/>
      <c r="AF36" s="116"/>
      <c r="AG36" s="116"/>
      <c r="AH36" s="116"/>
      <c r="AI36" s="116"/>
      <c r="AJ36" s="116"/>
      <c r="AK36" s="116"/>
      <c r="AL36" s="116"/>
      <c r="AM36" s="116"/>
      <c r="AN36" s="116"/>
      <c r="AO36" s="117"/>
    </row>
    <row r="37" spans="1:41" ht="31.5" thickTop="1" thickBot="1">
      <c r="A37" s="154" t="s">
        <v>242</v>
      </c>
      <c r="B37" s="154" t="s">
        <v>243</v>
      </c>
      <c r="C37" s="154" t="s">
        <v>244</v>
      </c>
      <c r="D37" s="154" t="s">
        <v>245</v>
      </c>
      <c r="E37" s="154" t="s">
        <v>246</v>
      </c>
      <c r="F37" s="155"/>
      <c r="G37" s="156"/>
      <c r="H37" s="155"/>
      <c r="I37" s="155"/>
      <c r="J37" s="155"/>
      <c r="K37" s="155"/>
      <c r="L37" s="155"/>
      <c r="M37" s="155"/>
      <c r="N37" s="155"/>
      <c r="O37" s="155"/>
      <c r="P37" s="155"/>
      <c r="Q37" s="155"/>
      <c r="R37" s="155"/>
      <c r="S37" s="155"/>
      <c r="T37" s="155"/>
      <c r="Y37" s="115"/>
      <c r="Z37" s="116"/>
      <c r="AA37" s="116"/>
      <c r="AB37" s="116"/>
      <c r="AC37" s="116"/>
      <c r="AD37" s="116"/>
      <c r="AE37" s="116"/>
      <c r="AF37" s="116"/>
      <c r="AG37" s="116"/>
      <c r="AH37" s="116"/>
      <c r="AI37" s="116"/>
      <c r="AJ37" s="116"/>
      <c r="AK37" s="116"/>
      <c r="AL37" s="116"/>
      <c r="AM37" s="116"/>
      <c r="AN37" s="116"/>
      <c r="AO37" s="117"/>
    </row>
    <row r="38" spans="1:41" ht="16.5" thickTop="1" thickBot="1">
      <c r="A38" s="151"/>
      <c r="B38" s="160"/>
      <c r="C38" s="161"/>
      <c r="D38" s="161"/>
      <c r="E38" s="161"/>
      <c r="Y38" s="115"/>
      <c r="Z38" s="116"/>
      <c r="AA38" s="116"/>
      <c r="AB38" s="116"/>
      <c r="AC38" s="116"/>
      <c r="AD38" s="116"/>
      <c r="AE38" s="116"/>
      <c r="AF38" s="116"/>
      <c r="AG38" s="116"/>
      <c r="AH38" s="116"/>
      <c r="AI38" s="116"/>
      <c r="AJ38" s="116"/>
      <c r="AK38" s="116"/>
      <c r="AL38" s="116"/>
      <c r="AM38" s="116"/>
      <c r="AN38" s="116"/>
      <c r="AO38" s="117"/>
    </row>
    <row r="39" spans="1:41" ht="16.5" thickTop="1" thickBot="1">
      <c r="A39" s="151"/>
      <c r="B39" s="160"/>
      <c r="C39" s="161"/>
      <c r="D39" s="161"/>
      <c r="E39" s="161"/>
      <c r="Y39" s="115"/>
      <c r="Z39" s="116"/>
      <c r="AA39" s="116"/>
      <c r="AB39" s="116"/>
      <c r="AC39" s="116"/>
      <c r="AD39" s="116"/>
      <c r="AE39" s="116"/>
      <c r="AF39" s="116"/>
      <c r="AG39" s="116"/>
      <c r="AH39" s="116"/>
      <c r="AI39" s="116"/>
      <c r="AJ39" s="116"/>
      <c r="AK39" s="116"/>
      <c r="AL39" s="116"/>
      <c r="AM39" s="116"/>
      <c r="AN39" s="116"/>
      <c r="AO39" s="117"/>
    </row>
    <row r="40" spans="1:41" ht="16.5" thickTop="1" thickBot="1">
      <c r="A40" s="151"/>
      <c r="B40" s="160"/>
      <c r="C40" s="161"/>
      <c r="D40" s="161"/>
      <c r="E40" s="161"/>
      <c r="Y40" s="115"/>
      <c r="Z40" s="116"/>
      <c r="AA40" s="116"/>
      <c r="AB40" s="116"/>
      <c r="AC40" s="116"/>
      <c r="AD40" s="116"/>
      <c r="AE40" s="116"/>
      <c r="AF40" s="116"/>
      <c r="AG40" s="116"/>
      <c r="AH40" s="116"/>
      <c r="AI40" s="116"/>
      <c r="AJ40" s="116"/>
      <c r="AK40" s="116"/>
      <c r="AL40" s="116"/>
      <c r="AM40" s="116"/>
      <c r="AN40" s="116"/>
      <c r="AO40" s="117"/>
    </row>
    <row r="41" spans="1:41" ht="16.5" thickTop="1" thickBot="1">
      <c r="A41" s="151"/>
      <c r="B41" s="160"/>
      <c r="C41" s="161"/>
      <c r="D41" s="161"/>
      <c r="E41" s="161"/>
      <c r="Y41" s="115"/>
      <c r="Z41" s="116"/>
      <c r="AA41" s="116"/>
      <c r="AB41" s="116"/>
      <c r="AC41" s="116"/>
      <c r="AD41" s="116"/>
      <c r="AE41" s="116"/>
      <c r="AF41" s="116"/>
      <c r="AG41" s="116"/>
      <c r="AH41" s="116"/>
      <c r="AI41" s="116"/>
      <c r="AJ41" s="116"/>
      <c r="AK41" s="116"/>
      <c r="AL41" s="116"/>
      <c r="AM41" s="116"/>
      <c r="AN41" s="116"/>
      <c r="AO41" s="117"/>
    </row>
    <row r="42" spans="1:41" ht="16.5" thickTop="1" thickBot="1">
      <c r="A42" s="151"/>
      <c r="B42" s="160"/>
      <c r="C42" s="162"/>
      <c r="D42" s="162"/>
      <c r="E42" s="162"/>
      <c r="Y42" s="115"/>
      <c r="Z42" s="116"/>
      <c r="AA42" s="116"/>
      <c r="AB42" s="116"/>
      <c r="AC42" s="116"/>
      <c r="AD42" s="116"/>
      <c r="AE42" s="116"/>
      <c r="AF42" s="116"/>
      <c r="AG42" s="116"/>
      <c r="AH42" s="116"/>
      <c r="AI42" s="116"/>
      <c r="AJ42" s="116"/>
      <c r="AK42" s="116"/>
      <c r="AL42" s="116"/>
      <c r="AM42" s="116"/>
      <c r="AN42" s="116"/>
      <c r="AO42" s="117"/>
    </row>
    <row r="43" spans="1:41" ht="16.5" thickTop="1" thickBot="1">
      <c r="A43" s="163" t="s">
        <v>219</v>
      </c>
      <c r="B43" s="164"/>
      <c r="C43" s="165"/>
      <c r="D43" s="166"/>
      <c r="E43" s="167">
        <v>15.33</v>
      </c>
      <c r="F43" s="69" t="s">
        <v>642</v>
      </c>
      <c r="Y43" s="115"/>
      <c r="Z43" s="116"/>
      <c r="AA43" s="116"/>
      <c r="AB43" s="116"/>
      <c r="AC43" s="116"/>
      <c r="AD43" s="116"/>
      <c r="AE43" s="116"/>
      <c r="AF43" s="116"/>
      <c r="AG43" s="116"/>
      <c r="AH43" s="116"/>
      <c r="AI43" s="116"/>
      <c r="AJ43" s="116"/>
      <c r="AK43" s="116"/>
      <c r="AL43" s="116"/>
      <c r="AM43" s="116"/>
      <c r="AN43" s="116"/>
      <c r="AO43" s="117"/>
    </row>
    <row r="44" spans="1:41" ht="15.75" thickTop="1">
      <c r="Y44" s="115"/>
      <c r="Z44" s="116"/>
      <c r="AA44" s="349" t="s">
        <v>240</v>
      </c>
      <c r="AB44" s="349"/>
      <c r="AC44" s="349"/>
      <c r="AD44" s="349"/>
      <c r="AE44" s="349"/>
      <c r="AF44" s="349"/>
      <c r="AG44" s="349"/>
      <c r="AH44" s="349"/>
      <c r="AI44" s="349"/>
      <c r="AJ44" s="349"/>
      <c r="AK44" s="349"/>
      <c r="AL44" s="349"/>
      <c r="AM44" s="116"/>
      <c r="AN44" s="116"/>
      <c r="AO44" s="117"/>
    </row>
    <row r="45" spans="1:41" ht="15" customHeight="1">
      <c r="A45" s="168" t="s">
        <v>249</v>
      </c>
      <c r="Y45" s="115"/>
      <c r="Z45" s="116"/>
      <c r="AA45" s="349"/>
      <c r="AB45" s="349"/>
      <c r="AC45" s="349"/>
      <c r="AD45" s="349"/>
      <c r="AE45" s="349"/>
      <c r="AF45" s="349"/>
      <c r="AG45" s="349"/>
      <c r="AH45" s="349"/>
      <c r="AI45" s="349"/>
      <c r="AJ45" s="349"/>
      <c r="AK45" s="349"/>
      <c r="AL45" s="349"/>
      <c r="AM45" s="116"/>
      <c r="AN45" s="116"/>
      <c r="AO45" s="117"/>
    </row>
    <row r="46" spans="1:41" ht="15.75" thickBot="1">
      <c r="A46" s="69" t="s">
        <v>250</v>
      </c>
      <c r="Y46" s="115"/>
      <c r="Z46" s="116"/>
      <c r="AA46" s="349"/>
      <c r="AB46" s="349"/>
      <c r="AC46" s="349"/>
      <c r="AD46" s="349"/>
      <c r="AE46" s="349"/>
      <c r="AF46" s="349"/>
      <c r="AG46" s="349"/>
      <c r="AH46" s="349"/>
      <c r="AI46" s="349"/>
      <c r="AJ46" s="349"/>
      <c r="AK46" s="349"/>
      <c r="AL46" s="349"/>
      <c r="AM46" s="116"/>
      <c r="AN46" s="116"/>
      <c r="AO46" s="117"/>
    </row>
    <row r="47" spans="1:41" ht="16.5" thickTop="1" thickBot="1">
      <c r="A47" s="351" t="s">
        <v>251</v>
      </c>
      <c r="B47" s="352"/>
      <c r="C47" s="169">
        <f>'WasteWater System Savings'!A5</f>
        <v>3.6841444395749776</v>
      </c>
      <c r="D47" s="69" t="s">
        <v>252</v>
      </c>
      <c r="Y47" s="115"/>
      <c r="Z47" s="116"/>
      <c r="AA47" s="349"/>
      <c r="AB47" s="349"/>
      <c r="AC47" s="349"/>
      <c r="AD47" s="349"/>
      <c r="AE47" s="349"/>
      <c r="AF47" s="349"/>
      <c r="AG47" s="349"/>
      <c r="AH47" s="349"/>
      <c r="AI47" s="349"/>
      <c r="AJ47" s="349"/>
      <c r="AK47" s="349"/>
      <c r="AL47" s="349"/>
      <c r="AM47" s="116"/>
      <c r="AN47" s="116"/>
      <c r="AO47" s="117"/>
    </row>
    <row r="48" spans="1:41" ht="15.75" thickTop="1">
      <c r="D48" s="170" t="s">
        <v>253</v>
      </c>
      <c r="Y48" s="115"/>
      <c r="Z48" s="116"/>
      <c r="AA48" s="116"/>
      <c r="AB48" s="116"/>
      <c r="AC48" s="116"/>
      <c r="AD48" s="116"/>
      <c r="AE48" s="116"/>
      <c r="AF48" s="116"/>
      <c r="AG48" s="116"/>
      <c r="AH48" s="116"/>
      <c r="AI48" s="116"/>
      <c r="AJ48" s="116"/>
      <c r="AK48" s="116"/>
      <c r="AL48" s="116"/>
      <c r="AM48" s="116"/>
      <c r="AN48" s="116"/>
      <c r="AO48" s="117"/>
    </row>
    <row r="49" spans="1:41" ht="15.75" thickBot="1">
      <c r="D49" s="170" t="s">
        <v>254</v>
      </c>
      <c r="Y49" s="138"/>
      <c r="Z49" s="149"/>
      <c r="AA49" s="149"/>
      <c r="AB49" s="149"/>
      <c r="AC49" s="149"/>
      <c r="AD49" s="149"/>
      <c r="AE49" s="149"/>
      <c r="AF49" s="149"/>
      <c r="AG49" s="149"/>
      <c r="AH49" s="149"/>
      <c r="AI49" s="149"/>
      <c r="AJ49" s="149"/>
      <c r="AK49" s="149"/>
      <c r="AL49" s="149"/>
      <c r="AM49" s="149"/>
      <c r="AN49" s="149"/>
      <c r="AO49" s="150"/>
    </row>
    <row r="50" spans="1:41" ht="15.75" thickBot="1">
      <c r="D50" s="170" t="s">
        <v>255</v>
      </c>
    </row>
    <row r="51" spans="1:41">
      <c r="D51" s="69" t="s">
        <v>256</v>
      </c>
      <c r="Y51" s="112"/>
      <c r="Z51" s="113"/>
      <c r="AA51" s="113"/>
      <c r="AB51" s="113"/>
      <c r="AC51" s="113"/>
      <c r="AD51" s="113"/>
      <c r="AE51" s="113"/>
      <c r="AF51" s="113"/>
      <c r="AG51" s="113"/>
      <c r="AH51" s="113"/>
      <c r="AI51" s="113"/>
      <c r="AJ51" s="113"/>
      <c r="AK51" s="113"/>
      <c r="AL51" s="113"/>
      <c r="AM51" s="113"/>
      <c r="AN51" s="113"/>
      <c r="AO51" s="114"/>
    </row>
    <row r="52" spans="1:41">
      <c r="Y52" s="115"/>
      <c r="Z52" s="116"/>
      <c r="AA52" s="116"/>
      <c r="AB52" s="116"/>
      <c r="AC52" s="116"/>
      <c r="AD52" s="116"/>
      <c r="AE52" s="116"/>
      <c r="AF52" s="116"/>
      <c r="AG52" s="116"/>
      <c r="AH52" s="116"/>
      <c r="AI52" s="116"/>
      <c r="AJ52" s="116"/>
      <c r="AK52" s="116"/>
      <c r="AL52" s="116"/>
      <c r="AM52" s="116"/>
      <c r="AN52" s="116"/>
      <c r="AO52" s="117"/>
    </row>
    <row r="53" spans="1:41">
      <c r="A53" s="152" t="s">
        <v>208</v>
      </c>
      <c r="B53" s="153"/>
      <c r="C53" s="153"/>
      <c r="D53" s="153"/>
      <c r="E53" s="153"/>
      <c r="F53" s="119"/>
      <c r="G53" s="120" t="s">
        <v>211</v>
      </c>
      <c r="H53" s="119"/>
      <c r="I53" s="153"/>
      <c r="J53" s="153"/>
      <c r="K53" s="153"/>
      <c r="Y53" s="115"/>
      <c r="Z53" s="116"/>
      <c r="AA53" s="116"/>
      <c r="AB53" s="116"/>
      <c r="AC53" s="116"/>
      <c r="AD53" s="116"/>
      <c r="AE53" s="116"/>
      <c r="AF53" s="116"/>
      <c r="AG53" s="116"/>
      <c r="AH53" s="116"/>
      <c r="AI53" s="116"/>
      <c r="AJ53" s="116"/>
      <c r="AK53" s="116"/>
      <c r="AL53" s="116"/>
      <c r="AM53" s="116"/>
      <c r="AN53" s="116"/>
      <c r="AO53" s="117"/>
    </row>
    <row r="54" spans="1:41" ht="15.75" thickBot="1">
      <c r="Y54" s="115"/>
      <c r="Z54" s="116"/>
      <c r="AA54" s="116"/>
      <c r="AB54" s="116"/>
      <c r="AC54" s="116"/>
      <c r="AD54" s="116"/>
      <c r="AE54" s="116"/>
      <c r="AF54" s="116"/>
      <c r="AG54" s="116"/>
      <c r="AH54" s="116"/>
      <c r="AI54" s="116"/>
      <c r="AJ54" s="116"/>
      <c r="AK54" s="116"/>
      <c r="AL54" s="116"/>
      <c r="AM54" s="116"/>
      <c r="AN54" s="116"/>
      <c r="AO54" s="117"/>
    </row>
    <row r="55" spans="1:41" ht="16.5" thickTop="1" thickBot="1">
      <c r="A55" s="347" t="s">
        <v>257</v>
      </c>
      <c r="B55" s="348"/>
      <c r="C55" s="171">
        <f>24*J55</f>
        <v>25.872</v>
      </c>
      <c r="D55" s="69" t="s">
        <v>350</v>
      </c>
      <c r="J55" s="69">
        <v>1.0780000000000001</v>
      </c>
      <c r="Y55" s="115"/>
      <c r="Z55" s="116"/>
      <c r="AA55" s="116"/>
      <c r="AB55" s="116"/>
      <c r="AC55" s="116"/>
      <c r="AD55" s="116"/>
      <c r="AE55" s="116"/>
      <c r="AF55" s="116"/>
      <c r="AG55" s="116"/>
      <c r="AH55" s="116"/>
      <c r="AI55" s="116"/>
      <c r="AJ55" s="116"/>
      <c r="AK55" s="116"/>
      <c r="AL55" s="116"/>
      <c r="AM55" s="116"/>
      <c r="AN55" s="116"/>
      <c r="AO55" s="117"/>
    </row>
    <row r="56" spans="1:41" ht="16.5" thickTop="1" thickBot="1">
      <c r="A56" s="347" t="s">
        <v>258</v>
      </c>
      <c r="B56" s="348"/>
      <c r="C56" s="171">
        <f>C58+(1/3)*20</f>
        <v>6.6666666666666661</v>
      </c>
      <c r="D56" s="69" t="s">
        <v>259</v>
      </c>
      <c r="Y56" s="115"/>
      <c r="Z56" s="116"/>
      <c r="AA56" s="116"/>
      <c r="AB56" s="116"/>
      <c r="AC56" s="116"/>
      <c r="AD56" s="116"/>
      <c r="AE56" s="116"/>
      <c r="AF56" s="116"/>
      <c r="AG56" s="116"/>
      <c r="AH56" s="116"/>
      <c r="AI56" s="116"/>
      <c r="AJ56" s="116"/>
      <c r="AK56" s="116"/>
      <c r="AL56" s="116"/>
      <c r="AM56" s="116"/>
      <c r="AN56" s="116"/>
      <c r="AO56" s="117"/>
    </row>
    <row r="57" spans="1:41" ht="16.5" thickTop="1" thickBot="1">
      <c r="A57" s="347" t="s">
        <v>260</v>
      </c>
      <c r="B57" s="348"/>
      <c r="C57" s="171">
        <v>17.329999999999998</v>
      </c>
      <c r="D57" s="69" t="s">
        <v>261</v>
      </c>
      <c r="Y57" s="115"/>
      <c r="Z57" s="116"/>
      <c r="AA57" s="116"/>
      <c r="AB57" s="116"/>
      <c r="AC57" s="116"/>
      <c r="AD57" s="116"/>
      <c r="AE57" s="116"/>
      <c r="AF57" s="116"/>
      <c r="AG57" s="116"/>
      <c r="AH57" s="116"/>
      <c r="AI57" s="116"/>
      <c r="AJ57" s="116"/>
      <c r="AK57" s="116"/>
      <c r="AL57" s="116"/>
      <c r="AM57" s="116"/>
      <c r="AN57" s="116"/>
      <c r="AO57" s="117"/>
    </row>
    <row r="58" spans="1:41" ht="16.5" thickTop="1" thickBot="1">
      <c r="A58" s="347"/>
      <c r="B58" s="348"/>
      <c r="C58" s="171"/>
      <c r="Y58" s="115"/>
      <c r="Z58" s="116"/>
      <c r="AA58" s="116"/>
      <c r="AB58" s="116"/>
      <c r="AC58" s="116"/>
      <c r="AD58" s="116"/>
      <c r="AE58" s="116"/>
      <c r="AF58" s="116"/>
      <c r="AG58" s="116"/>
      <c r="AH58" s="116"/>
      <c r="AI58" s="116"/>
      <c r="AJ58" s="116"/>
      <c r="AK58" s="116"/>
      <c r="AL58" s="116"/>
      <c r="AM58" s="116"/>
      <c r="AN58" s="116"/>
      <c r="AO58" s="117"/>
    </row>
    <row r="59" spans="1:41" ht="16.5" thickTop="1" thickBot="1">
      <c r="A59" s="172"/>
      <c r="B59" s="173"/>
      <c r="C59" s="171"/>
      <c r="Y59" s="115"/>
      <c r="Z59" s="116"/>
      <c r="AA59" s="116"/>
      <c r="AB59" s="116"/>
      <c r="AC59" s="116"/>
      <c r="AD59" s="116"/>
      <c r="AE59" s="116"/>
      <c r="AF59" s="116"/>
      <c r="AG59" s="116"/>
      <c r="AH59" s="116"/>
      <c r="AI59" s="116"/>
      <c r="AJ59" s="116"/>
      <c r="AK59" s="116"/>
      <c r="AL59" s="116"/>
      <c r="AM59" s="116"/>
      <c r="AN59" s="116"/>
      <c r="AO59" s="117"/>
    </row>
    <row r="60" spans="1:41" ht="15.75" thickTop="1">
      <c r="D60" s="69" t="s">
        <v>262</v>
      </c>
      <c r="Y60" s="115"/>
      <c r="Z60" s="116"/>
      <c r="AA60" s="116"/>
      <c r="AB60" s="116"/>
      <c r="AC60" s="116"/>
      <c r="AD60" s="116"/>
      <c r="AE60" s="116"/>
      <c r="AF60" s="116"/>
      <c r="AG60" s="116"/>
      <c r="AH60" s="116"/>
      <c r="AI60" s="116"/>
      <c r="AJ60" s="116"/>
      <c r="AK60" s="116"/>
      <c r="AL60" s="116"/>
      <c r="AM60" s="116"/>
      <c r="AN60" s="116"/>
      <c r="AO60" s="117"/>
    </row>
    <row r="61" spans="1:41">
      <c r="Y61" s="115"/>
      <c r="Z61" s="116"/>
      <c r="AA61" s="116"/>
      <c r="AB61" s="116"/>
      <c r="AC61" s="116"/>
      <c r="AD61" s="116"/>
      <c r="AE61" s="116"/>
      <c r="AF61" s="116"/>
      <c r="AG61" s="116"/>
      <c r="AH61" s="116"/>
      <c r="AI61" s="116"/>
      <c r="AJ61" s="116"/>
      <c r="AK61" s="116"/>
      <c r="AL61" s="116"/>
      <c r="AM61" s="116"/>
      <c r="AN61" s="116"/>
      <c r="AO61" s="117"/>
    </row>
    <row r="62" spans="1:41">
      <c r="A62" s="152" t="s">
        <v>209</v>
      </c>
      <c r="B62" s="153"/>
      <c r="C62" s="153"/>
      <c r="D62" s="153"/>
      <c r="E62" s="153"/>
      <c r="F62" s="119"/>
      <c r="G62" s="120" t="s">
        <v>211</v>
      </c>
      <c r="H62" s="119"/>
      <c r="I62" s="153"/>
      <c r="J62" s="153"/>
      <c r="K62" s="153"/>
      <c r="Y62" s="115"/>
      <c r="Z62" s="116"/>
      <c r="AA62" s="116"/>
      <c r="AB62" s="116"/>
      <c r="AC62" s="116"/>
      <c r="AD62" s="116"/>
      <c r="AE62" s="116"/>
      <c r="AF62" s="116"/>
      <c r="AG62" s="116"/>
      <c r="AH62" s="116"/>
      <c r="AI62" s="116"/>
      <c r="AJ62" s="116"/>
      <c r="AK62" s="116"/>
      <c r="AL62" s="116"/>
      <c r="AM62" s="116"/>
      <c r="AN62" s="116"/>
      <c r="AO62" s="117"/>
    </row>
    <row r="63" spans="1:41">
      <c r="Y63" s="115"/>
      <c r="Z63" s="116"/>
      <c r="AA63" s="116"/>
      <c r="AB63" s="116"/>
      <c r="AC63" s="116"/>
      <c r="AD63" s="116"/>
      <c r="AE63" s="116"/>
      <c r="AF63" s="116"/>
      <c r="AG63" s="116"/>
      <c r="AH63" s="116"/>
      <c r="AI63" s="116"/>
      <c r="AJ63" s="116"/>
      <c r="AK63" s="116"/>
      <c r="AL63" s="116"/>
      <c r="AM63" s="116"/>
      <c r="AN63" s="116"/>
      <c r="AO63" s="117"/>
    </row>
    <row r="64" spans="1:41" ht="15.75" thickBot="1">
      <c r="Y64" s="115"/>
      <c r="Z64" s="116"/>
      <c r="AA64" s="116"/>
      <c r="AB64" s="116"/>
      <c r="AC64" s="116"/>
      <c r="AD64" s="116"/>
      <c r="AE64" s="116"/>
      <c r="AF64" s="116"/>
      <c r="AG64" s="116"/>
      <c r="AH64" s="116"/>
      <c r="AI64" s="116"/>
      <c r="AJ64" s="116"/>
      <c r="AK64" s="116"/>
      <c r="AL64" s="116"/>
      <c r="AM64" s="116"/>
      <c r="AN64" s="116"/>
      <c r="AO64" s="117"/>
    </row>
    <row r="65" spans="1:41" ht="31.5" thickTop="1" thickBot="1">
      <c r="A65" s="350"/>
      <c r="B65" s="350"/>
      <c r="C65" s="350"/>
      <c r="D65" s="68" t="s">
        <v>160</v>
      </c>
      <c r="E65" s="68" t="s">
        <v>161</v>
      </c>
      <c r="F65" s="68" t="s">
        <v>162</v>
      </c>
      <c r="Y65" s="115"/>
      <c r="Z65" s="116"/>
      <c r="AA65" s="116"/>
      <c r="AB65" s="116"/>
      <c r="AC65" s="116"/>
      <c r="AD65" s="116"/>
      <c r="AE65" s="116"/>
      <c r="AF65" s="116"/>
      <c r="AG65" s="116"/>
      <c r="AH65" s="116"/>
      <c r="AI65" s="116"/>
      <c r="AJ65" s="116"/>
      <c r="AK65" s="116"/>
      <c r="AL65" s="116"/>
      <c r="AM65" s="116"/>
      <c r="AN65" s="116"/>
      <c r="AO65" s="117"/>
    </row>
    <row r="66" spans="1:41" ht="16.5" thickTop="1" thickBot="1">
      <c r="A66" s="70" t="s">
        <v>163</v>
      </c>
      <c r="B66" s="71"/>
      <c r="C66" s="72"/>
      <c r="D66" s="73">
        <v>0.8</v>
      </c>
      <c r="E66" s="73">
        <v>0.75</v>
      </c>
      <c r="F66" s="73">
        <v>0.7</v>
      </c>
      <c r="H66" s="69" t="s">
        <v>164</v>
      </c>
      <c r="Y66" s="115"/>
      <c r="Z66" s="116"/>
      <c r="AA66" s="116"/>
      <c r="AB66" s="116"/>
      <c r="AC66" s="116"/>
      <c r="AD66" s="116"/>
      <c r="AE66" s="116"/>
      <c r="AF66" s="116"/>
      <c r="AG66" s="116"/>
      <c r="AH66" s="116"/>
      <c r="AI66" s="116"/>
      <c r="AJ66" s="116"/>
      <c r="AK66" s="116"/>
      <c r="AL66" s="116"/>
      <c r="AM66" s="116"/>
      <c r="AN66" s="116"/>
      <c r="AO66" s="117"/>
    </row>
    <row r="67" spans="1:41" ht="16.5" thickTop="1" thickBot="1">
      <c r="A67" s="70" t="s">
        <v>165</v>
      </c>
      <c r="B67" s="71"/>
      <c r="C67" s="72"/>
      <c r="D67" s="73">
        <v>0.76</v>
      </c>
      <c r="E67" s="73">
        <v>0.76</v>
      </c>
      <c r="F67" s="73">
        <v>0.76</v>
      </c>
      <c r="H67" s="69" t="s">
        <v>166</v>
      </c>
      <c r="Y67" s="115"/>
      <c r="Z67" s="116"/>
      <c r="AA67" s="116"/>
      <c r="AB67" s="116"/>
      <c r="AC67" s="116"/>
      <c r="AD67" s="116"/>
      <c r="AE67" s="116"/>
      <c r="AF67" s="116"/>
      <c r="AG67" s="116"/>
      <c r="AH67" s="116"/>
      <c r="AI67" s="116"/>
      <c r="AJ67" s="116"/>
      <c r="AK67" s="116"/>
      <c r="AL67" s="116"/>
      <c r="AM67" s="116"/>
      <c r="AN67" s="116"/>
      <c r="AO67" s="117"/>
    </row>
    <row r="68" spans="1:41" ht="16.5" thickTop="1" thickBot="1">
      <c r="A68" s="70" t="s">
        <v>167</v>
      </c>
      <c r="B68" s="71"/>
      <c r="C68" s="72"/>
      <c r="D68" s="73">
        <v>0.9</v>
      </c>
      <c r="E68" s="73">
        <v>0.9</v>
      </c>
      <c r="F68" s="73">
        <v>0.9</v>
      </c>
      <c r="H68" s="69" t="s">
        <v>168</v>
      </c>
      <c r="I68" s="74"/>
      <c r="J68" s="74"/>
      <c r="K68" s="74"/>
      <c r="L68" s="74"/>
      <c r="M68" s="74"/>
      <c r="N68" s="74"/>
      <c r="O68" s="74"/>
      <c r="P68" s="74"/>
      <c r="Q68" s="74"/>
      <c r="R68" s="74"/>
      <c r="S68" s="74"/>
      <c r="T68" s="74"/>
      <c r="Y68" s="115"/>
      <c r="Z68" s="116"/>
      <c r="AA68" s="116"/>
      <c r="AB68" s="116"/>
      <c r="AC68" s="116"/>
      <c r="AD68" s="116"/>
      <c r="AE68" s="116"/>
      <c r="AF68" s="116"/>
      <c r="AG68" s="116"/>
      <c r="AH68" s="116"/>
      <c r="AI68" s="116"/>
      <c r="AJ68" s="116"/>
      <c r="AK68" s="116"/>
      <c r="AL68" s="116"/>
      <c r="AM68" s="116"/>
      <c r="AN68" s="116"/>
      <c r="AO68" s="117"/>
    </row>
    <row r="69" spans="1:41" ht="16.5" thickTop="1" thickBot="1">
      <c r="A69" s="70"/>
      <c r="B69" s="71"/>
      <c r="C69" s="72"/>
      <c r="D69" s="73"/>
      <c r="E69" s="73"/>
      <c r="F69" s="73"/>
      <c r="H69" s="74"/>
      <c r="I69" s="74"/>
      <c r="J69" s="74"/>
      <c r="K69" s="74"/>
      <c r="L69" s="74"/>
      <c r="M69" s="74"/>
      <c r="N69" s="74"/>
      <c r="O69" s="74"/>
      <c r="P69" s="74"/>
      <c r="Q69" s="74"/>
      <c r="R69" s="74"/>
      <c r="S69" s="74"/>
      <c r="T69" s="74"/>
      <c r="Y69" s="115"/>
      <c r="Z69" s="116"/>
      <c r="AA69" s="116"/>
      <c r="AB69" s="116"/>
      <c r="AC69" s="116"/>
      <c r="AD69" s="116"/>
      <c r="AE69" s="116"/>
      <c r="AF69" s="116"/>
      <c r="AG69" s="116"/>
      <c r="AH69" s="116"/>
      <c r="AI69" s="116"/>
      <c r="AJ69" s="116"/>
      <c r="AK69" s="116"/>
      <c r="AL69" s="116"/>
      <c r="AM69" s="116"/>
      <c r="AN69" s="116"/>
      <c r="AO69" s="117"/>
    </row>
    <row r="70" spans="1:41" ht="16.5" thickTop="1" thickBot="1">
      <c r="A70" s="70"/>
      <c r="B70" s="71"/>
      <c r="C70" s="72"/>
      <c r="D70" s="73"/>
      <c r="E70" s="73"/>
      <c r="F70" s="73"/>
      <c r="Y70" s="115"/>
      <c r="Z70" s="116"/>
      <c r="AA70" s="116"/>
      <c r="AB70" s="116"/>
      <c r="AC70" s="116"/>
      <c r="AD70" s="116"/>
      <c r="AE70" s="116"/>
      <c r="AF70" s="116"/>
      <c r="AG70" s="116"/>
      <c r="AH70" s="116"/>
      <c r="AI70" s="116"/>
      <c r="AJ70" s="116"/>
      <c r="AK70" s="116"/>
      <c r="AL70" s="116"/>
      <c r="AM70" s="116"/>
      <c r="AN70" s="116"/>
      <c r="AO70" s="117"/>
    </row>
    <row r="71" spans="1:41" ht="16.5" thickTop="1" thickBot="1">
      <c r="A71" s="70"/>
      <c r="B71" s="71"/>
      <c r="C71" s="72"/>
      <c r="D71" s="73"/>
      <c r="E71" s="73"/>
      <c r="F71" s="73"/>
      <c r="Y71" s="115"/>
      <c r="Z71" s="116"/>
      <c r="AA71" s="116"/>
      <c r="AB71" s="116"/>
      <c r="AC71" s="116"/>
      <c r="AD71" s="116"/>
      <c r="AE71" s="116"/>
      <c r="AF71" s="116"/>
      <c r="AG71" s="116"/>
      <c r="AH71" s="116"/>
      <c r="AI71" s="116"/>
      <c r="AJ71" s="116"/>
      <c r="AK71" s="116"/>
      <c r="AL71" s="116"/>
      <c r="AM71" s="116"/>
      <c r="AN71" s="116"/>
      <c r="AO71" s="117"/>
    </row>
    <row r="72" spans="1:41" ht="15.75" thickTop="1">
      <c r="Y72" s="115"/>
      <c r="Z72" s="116"/>
      <c r="AA72" s="116"/>
      <c r="AB72" s="116"/>
      <c r="AC72" s="116"/>
      <c r="AD72" s="116"/>
      <c r="AE72" s="116"/>
      <c r="AF72" s="116"/>
      <c r="AG72" s="116"/>
      <c r="AH72" s="116"/>
      <c r="AI72" s="116"/>
      <c r="AJ72" s="116"/>
      <c r="AK72" s="116"/>
      <c r="AL72" s="116"/>
      <c r="AM72" s="116"/>
      <c r="AN72" s="116"/>
      <c r="AO72" s="117"/>
    </row>
    <row r="73" spans="1:41">
      <c r="Y73" s="115"/>
      <c r="Z73" s="116"/>
      <c r="AA73" s="116"/>
      <c r="AB73" s="116"/>
      <c r="AC73" s="116"/>
      <c r="AD73" s="116"/>
      <c r="AE73" s="116"/>
      <c r="AF73" s="116"/>
      <c r="AG73" s="116"/>
      <c r="AH73" s="116"/>
      <c r="AI73" s="116"/>
      <c r="AJ73" s="116"/>
      <c r="AK73" s="116"/>
      <c r="AL73" s="116"/>
      <c r="AM73" s="116"/>
      <c r="AN73" s="116"/>
      <c r="AO73" s="117"/>
    </row>
    <row r="74" spans="1:41">
      <c r="Y74" s="115"/>
      <c r="Z74" s="116"/>
      <c r="AA74" s="116"/>
      <c r="AB74" s="116"/>
      <c r="AC74" s="116"/>
      <c r="AD74" s="116"/>
      <c r="AE74" s="116"/>
      <c r="AF74" s="116"/>
      <c r="AG74" s="116"/>
      <c r="AH74" s="116"/>
      <c r="AI74" s="116"/>
      <c r="AJ74" s="116"/>
      <c r="AK74" s="116"/>
      <c r="AL74" s="116"/>
      <c r="AM74" s="116"/>
      <c r="AN74" s="116"/>
      <c r="AO74" s="117"/>
    </row>
    <row r="75" spans="1:41">
      <c r="Y75" s="115"/>
      <c r="Z75" s="116"/>
      <c r="AA75" s="116"/>
      <c r="AB75" s="116"/>
      <c r="AC75" s="116"/>
      <c r="AD75" s="116"/>
      <c r="AE75" s="116"/>
      <c r="AF75" s="116"/>
      <c r="AG75" s="116"/>
      <c r="AH75" s="116"/>
      <c r="AI75" s="116"/>
      <c r="AJ75" s="116"/>
      <c r="AK75" s="116"/>
      <c r="AL75" s="116"/>
      <c r="AM75" s="116"/>
      <c r="AN75" s="116"/>
      <c r="AO75" s="117"/>
    </row>
    <row r="76" spans="1:41">
      <c r="Y76" s="115"/>
      <c r="Z76" s="116"/>
      <c r="AA76" s="116"/>
      <c r="AB76" s="116"/>
      <c r="AC76" s="116"/>
      <c r="AD76" s="116"/>
      <c r="AE76" s="116"/>
      <c r="AF76" s="116"/>
      <c r="AG76" s="116"/>
      <c r="AH76" s="116"/>
      <c r="AI76" s="116"/>
      <c r="AJ76" s="116"/>
      <c r="AK76" s="116"/>
      <c r="AL76" s="116"/>
      <c r="AM76" s="116"/>
      <c r="AN76" s="116"/>
      <c r="AO76" s="117"/>
    </row>
    <row r="77" spans="1:41">
      <c r="Y77" s="115"/>
      <c r="Z77" s="116"/>
      <c r="AA77" s="116"/>
      <c r="AB77" s="116"/>
      <c r="AC77" s="116"/>
      <c r="AD77" s="116"/>
      <c r="AE77" s="116"/>
      <c r="AF77" s="116"/>
      <c r="AG77" s="116"/>
      <c r="AH77" s="116"/>
      <c r="AI77" s="116"/>
      <c r="AJ77" s="116"/>
      <c r="AK77" s="116"/>
      <c r="AL77" s="116"/>
      <c r="AM77" s="116"/>
      <c r="AN77" s="116"/>
      <c r="AO77" s="117"/>
    </row>
    <row r="78" spans="1:41" ht="16.5" customHeight="1">
      <c r="Y78" s="115"/>
      <c r="Z78" s="116"/>
      <c r="AA78" s="116"/>
      <c r="AB78" s="116"/>
      <c r="AC78" s="116"/>
      <c r="AD78" s="116"/>
      <c r="AE78" s="116"/>
      <c r="AF78" s="116"/>
      <c r="AG78" s="116"/>
      <c r="AH78" s="116"/>
      <c r="AI78" s="116"/>
      <c r="AJ78" s="116"/>
      <c r="AK78" s="116"/>
      <c r="AL78" s="116"/>
      <c r="AM78" s="116"/>
      <c r="AN78" s="116"/>
      <c r="AO78" s="117"/>
    </row>
    <row r="79" spans="1:41">
      <c r="Y79" s="115"/>
      <c r="Z79" s="116"/>
      <c r="AA79" s="116"/>
      <c r="AB79" s="116"/>
      <c r="AC79" s="116"/>
      <c r="AD79" s="116"/>
      <c r="AE79" s="116"/>
      <c r="AF79" s="116"/>
      <c r="AG79" s="116"/>
      <c r="AH79" s="116"/>
      <c r="AI79" s="116"/>
      <c r="AJ79" s="116"/>
      <c r="AK79" s="116"/>
      <c r="AL79" s="116"/>
      <c r="AM79" s="116"/>
      <c r="AN79" s="116"/>
      <c r="AO79" s="117"/>
    </row>
    <row r="80" spans="1:41" ht="31.5" customHeight="1">
      <c r="Y80" s="115"/>
      <c r="Z80" s="116"/>
      <c r="AA80" s="116"/>
      <c r="AB80" s="116"/>
      <c r="AC80" s="116"/>
      <c r="AD80" s="116"/>
      <c r="AE80" s="116"/>
      <c r="AF80" s="116"/>
      <c r="AG80" s="116"/>
      <c r="AH80" s="116"/>
      <c r="AI80" s="116"/>
      <c r="AJ80" s="116"/>
      <c r="AK80" s="116"/>
      <c r="AL80" s="116"/>
      <c r="AM80" s="116"/>
      <c r="AN80" s="116"/>
      <c r="AO80" s="117"/>
    </row>
    <row r="81" spans="1:41" ht="30" customHeight="1">
      <c r="Y81" s="115"/>
      <c r="Z81" s="116"/>
      <c r="AA81" s="116"/>
      <c r="AB81" s="116"/>
      <c r="AC81" s="116"/>
      <c r="AD81" s="116"/>
      <c r="AE81" s="116"/>
      <c r="AF81" s="116"/>
      <c r="AG81" s="116"/>
      <c r="AH81" s="116"/>
      <c r="AI81" s="116"/>
      <c r="AJ81" s="116"/>
      <c r="AK81" s="116"/>
      <c r="AL81" s="116"/>
      <c r="AM81" s="116"/>
      <c r="AN81" s="116"/>
      <c r="AO81" s="117"/>
    </row>
    <row r="82" spans="1:41">
      <c r="Y82" s="115"/>
      <c r="Z82" s="116"/>
      <c r="AA82" s="116"/>
      <c r="AB82" s="116"/>
      <c r="AC82" s="116"/>
      <c r="AD82" s="116"/>
      <c r="AE82" s="116"/>
      <c r="AF82" s="116"/>
      <c r="AG82" s="116"/>
      <c r="AH82" s="116"/>
      <c r="AI82" s="116"/>
      <c r="AJ82" s="116"/>
      <c r="AK82" s="116"/>
      <c r="AL82" s="116"/>
      <c r="AM82" s="116"/>
      <c r="AN82" s="116"/>
      <c r="AO82" s="117"/>
    </row>
    <row r="83" spans="1:41" ht="13.5" customHeight="1">
      <c r="Y83" s="115"/>
      <c r="Z83" s="116"/>
      <c r="AA83" s="116"/>
      <c r="AB83" s="116"/>
      <c r="AC83" s="116"/>
      <c r="AD83" s="116"/>
      <c r="AE83" s="116"/>
      <c r="AF83" s="116"/>
      <c r="AG83" s="116"/>
      <c r="AH83" s="116"/>
      <c r="AI83" s="116"/>
      <c r="AJ83" s="116"/>
      <c r="AK83" s="116"/>
      <c r="AL83" s="116"/>
      <c r="AM83" s="116"/>
      <c r="AN83" s="116"/>
      <c r="AO83" s="117"/>
    </row>
    <row r="84" spans="1:41">
      <c r="Y84" s="115"/>
      <c r="Z84" s="116"/>
      <c r="AA84" s="116"/>
      <c r="AB84" s="116"/>
      <c r="AC84" s="116"/>
      <c r="AD84" s="116"/>
      <c r="AE84" s="116"/>
      <c r="AF84" s="116"/>
      <c r="AG84" s="116"/>
      <c r="AH84" s="116"/>
      <c r="AI84" s="116"/>
      <c r="AJ84" s="116"/>
      <c r="AK84" s="116"/>
      <c r="AL84" s="116"/>
      <c r="AM84" s="116"/>
      <c r="AN84" s="116"/>
      <c r="AO84" s="117"/>
    </row>
    <row r="85" spans="1:41">
      <c r="Y85" s="115"/>
      <c r="Z85" s="116"/>
      <c r="AA85" s="116"/>
      <c r="AB85" s="116"/>
      <c r="AC85" s="116"/>
      <c r="AD85" s="116"/>
      <c r="AE85" s="116"/>
      <c r="AF85" s="116"/>
      <c r="AG85" s="116"/>
      <c r="AH85" s="116"/>
      <c r="AI85" s="116"/>
      <c r="AJ85" s="116"/>
      <c r="AK85" s="116"/>
      <c r="AL85" s="116"/>
      <c r="AM85" s="116"/>
      <c r="AN85" s="116"/>
      <c r="AO85" s="117"/>
    </row>
    <row r="86" spans="1:41">
      <c r="Y86" s="115"/>
      <c r="Z86" s="116"/>
      <c r="AA86" s="116"/>
      <c r="AB86" s="116"/>
      <c r="AC86" s="116"/>
      <c r="AD86" s="116"/>
      <c r="AE86" s="116"/>
      <c r="AF86" s="116"/>
      <c r="AG86" s="116"/>
      <c r="AH86" s="116"/>
      <c r="AI86" s="116"/>
      <c r="AJ86" s="116"/>
      <c r="AK86" s="116"/>
      <c r="AL86" s="116"/>
      <c r="AM86" s="116"/>
      <c r="AN86" s="116"/>
      <c r="AO86" s="117"/>
    </row>
    <row r="87" spans="1:41">
      <c r="Y87" s="115"/>
      <c r="Z87" s="116"/>
      <c r="AA87" s="116"/>
      <c r="AB87" s="116"/>
      <c r="AC87" s="116"/>
      <c r="AD87" s="116"/>
      <c r="AE87" s="116"/>
      <c r="AF87" s="116"/>
      <c r="AG87" s="116"/>
      <c r="AH87" s="116"/>
      <c r="AI87" s="116"/>
      <c r="AJ87" s="116"/>
      <c r="AK87" s="116"/>
      <c r="AL87" s="116"/>
      <c r="AM87" s="116"/>
      <c r="AN87" s="116"/>
      <c r="AO87" s="117"/>
    </row>
    <row r="88" spans="1:41">
      <c r="Y88" s="115"/>
      <c r="Z88" s="116"/>
      <c r="AA88" s="116"/>
      <c r="AB88" s="116"/>
      <c r="AC88" s="116"/>
      <c r="AD88" s="116"/>
      <c r="AE88" s="116"/>
      <c r="AF88" s="116"/>
      <c r="AG88" s="116"/>
      <c r="AH88" s="116"/>
      <c r="AI88" s="116"/>
      <c r="AJ88" s="116"/>
      <c r="AK88" s="116"/>
      <c r="AL88" s="116"/>
      <c r="AM88" s="116"/>
      <c r="AN88" s="116"/>
      <c r="AO88" s="117"/>
    </row>
    <row r="89" spans="1:41">
      <c r="Y89" s="115"/>
      <c r="Z89" s="116"/>
      <c r="AA89" s="116"/>
      <c r="AB89" s="116"/>
      <c r="AC89" s="116"/>
      <c r="AD89" s="116"/>
      <c r="AE89" s="116"/>
      <c r="AF89" s="116"/>
      <c r="AG89" s="116"/>
      <c r="AH89" s="116"/>
      <c r="AI89" s="116"/>
      <c r="AJ89" s="116"/>
      <c r="AK89" s="116"/>
      <c r="AL89" s="116"/>
      <c r="AM89" s="116"/>
      <c r="AN89" s="116"/>
      <c r="AO89" s="117"/>
    </row>
    <row r="90" spans="1:41">
      <c r="Y90" s="115"/>
      <c r="Z90" s="116"/>
      <c r="AA90" s="116"/>
      <c r="AB90" s="116"/>
      <c r="AC90" s="116"/>
      <c r="AD90" s="116"/>
      <c r="AE90" s="116"/>
      <c r="AF90" s="116"/>
      <c r="AG90" s="116"/>
      <c r="AH90" s="116"/>
      <c r="AI90" s="116"/>
      <c r="AJ90" s="116"/>
      <c r="AK90" s="116"/>
      <c r="AL90" s="116"/>
      <c r="AM90" s="116"/>
      <c r="AN90" s="116"/>
      <c r="AO90" s="117"/>
    </row>
    <row r="91" spans="1:41">
      <c r="Y91" s="115"/>
      <c r="Z91" s="116"/>
      <c r="AA91" s="116"/>
      <c r="AB91" s="116"/>
      <c r="AC91" s="116"/>
      <c r="AD91" s="116"/>
      <c r="AE91" s="116"/>
      <c r="AF91" s="116"/>
      <c r="AG91" s="116"/>
      <c r="AH91" s="116"/>
      <c r="AI91" s="116"/>
      <c r="AJ91" s="116"/>
      <c r="AK91" s="116"/>
      <c r="AL91" s="116"/>
      <c r="AM91" s="116"/>
      <c r="AN91" s="116"/>
      <c r="AO91" s="117"/>
    </row>
    <row r="92" spans="1:41">
      <c r="Y92" s="115"/>
      <c r="Z92" s="116"/>
      <c r="AA92" s="116"/>
      <c r="AB92" s="116"/>
      <c r="AC92" s="116"/>
      <c r="AD92" s="116"/>
      <c r="AE92" s="116"/>
      <c r="AF92" s="116"/>
      <c r="AG92" s="116"/>
      <c r="AH92" s="116"/>
      <c r="AI92" s="116"/>
      <c r="AJ92" s="116"/>
      <c r="AK92" s="116"/>
      <c r="AL92" s="116"/>
      <c r="AM92" s="116"/>
      <c r="AN92" s="116"/>
      <c r="AO92" s="117"/>
    </row>
    <row r="93" spans="1:41">
      <c r="Y93" s="115"/>
      <c r="Z93" s="116"/>
      <c r="AA93" s="116"/>
      <c r="AB93" s="116"/>
      <c r="AC93" s="116"/>
      <c r="AD93" s="116"/>
      <c r="AE93" s="116"/>
      <c r="AF93" s="116"/>
      <c r="AG93" s="116"/>
      <c r="AH93" s="116"/>
      <c r="AI93" s="116"/>
      <c r="AJ93" s="116"/>
      <c r="AK93" s="116"/>
      <c r="AL93" s="116"/>
      <c r="AM93" s="116"/>
      <c r="AN93" s="116"/>
      <c r="AO93" s="117"/>
    </row>
    <row r="94" spans="1:41">
      <c r="Y94" s="115"/>
      <c r="Z94" s="116"/>
      <c r="AA94" s="116"/>
      <c r="AB94" s="116"/>
      <c r="AC94" s="116"/>
      <c r="AD94" s="116"/>
      <c r="AE94" s="116"/>
      <c r="AF94" s="116"/>
      <c r="AG94" s="116"/>
      <c r="AH94" s="116"/>
      <c r="AI94" s="116"/>
      <c r="AJ94" s="116"/>
      <c r="AK94" s="116"/>
      <c r="AL94" s="116"/>
      <c r="AM94" s="116"/>
      <c r="AN94" s="116"/>
      <c r="AO94" s="117"/>
    </row>
    <row r="95" spans="1:41" s="155" customFormat="1">
      <c r="A95" s="69"/>
      <c r="B95" s="69"/>
      <c r="C95" s="69"/>
      <c r="D95" s="69"/>
      <c r="E95" s="69"/>
      <c r="F95" s="69"/>
      <c r="G95" s="69"/>
      <c r="H95" s="69"/>
      <c r="I95" s="69"/>
      <c r="J95" s="69"/>
      <c r="K95" s="69"/>
      <c r="L95" s="69"/>
      <c r="M95" s="69"/>
      <c r="N95" s="69"/>
      <c r="O95" s="69"/>
      <c r="P95" s="69"/>
      <c r="Q95" s="69"/>
      <c r="R95" s="69"/>
      <c r="S95" s="69"/>
      <c r="T95" s="69"/>
      <c r="Y95" s="157"/>
      <c r="Z95" s="158"/>
      <c r="AA95" s="158"/>
      <c r="AB95" s="158"/>
      <c r="AC95" s="158"/>
      <c r="AD95" s="158"/>
      <c r="AE95" s="158"/>
      <c r="AF95" s="158"/>
      <c r="AG95" s="158"/>
      <c r="AH95" s="158"/>
      <c r="AI95" s="158"/>
      <c r="AJ95" s="158"/>
      <c r="AK95" s="158"/>
      <c r="AL95" s="158"/>
      <c r="AM95" s="158"/>
      <c r="AN95" s="158"/>
      <c r="AO95" s="159"/>
    </row>
    <row r="96" spans="1:41">
      <c r="Y96" s="115"/>
      <c r="Z96" s="116"/>
      <c r="AA96" s="116"/>
      <c r="AB96" s="116"/>
      <c r="AC96" s="116"/>
      <c r="AD96" s="116"/>
      <c r="AE96" s="116"/>
      <c r="AF96" s="116"/>
      <c r="AG96" s="116"/>
      <c r="AH96" s="116"/>
      <c r="AI96" s="116"/>
      <c r="AJ96" s="116"/>
      <c r="AK96" s="116"/>
      <c r="AL96" s="116"/>
      <c r="AM96" s="116"/>
      <c r="AN96" s="116"/>
      <c r="AO96" s="117"/>
    </row>
    <row r="97" spans="25:41">
      <c r="Y97" s="115"/>
      <c r="Z97" s="116"/>
      <c r="AA97" s="349" t="s">
        <v>248</v>
      </c>
      <c r="AB97" s="349"/>
      <c r="AC97" s="349"/>
      <c r="AD97" s="349"/>
      <c r="AE97" s="349"/>
      <c r="AF97" s="349"/>
      <c r="AG97" s="349"/>
      <c r="AH97" s="349"/>
      <c r="AI97" s="349"/>
      <c r="AJ97" s="349"/>
      <c r="AK97" s="349"/>
      <c r="AL97" s="349"/>
      <c r="AM97" s="349"/>
      <c r="AN97" s="116"/>
      <c r="AO97" s="117"/>
    </row>
    <row r="98" spans="25:41">
      <c r="Y98" s="115"/>
      <c r="Z98" s="116"/>
      <c r="AA98" s="349"/>
      <c r="AB98" s="349"/>
      <c r="AC98" s="349"/>
      <c r="AD98" s="349"/>
      <c r="AE98" s="349"/>
      <c r="AF98" s="349"/>
      <c r="AG98" s="349"/>
      <c r="AH98" s="349"/>
      <c r="AI98" s="349"/>
      <c r="AJ98" s="349"/>
      <c r="AK98" s="349"/>
      <c r="AL98" s="349"/>
      <c r="AM98" s="349"/>
      <c r="AN98" s="116"/>
      <c r="AO98" s="117"/>
    </row>
    <row r="99" spans="25:41">
      <c r="Y99" s="115"/>
      <c r="Z99" s="116"/>
      <c r="AA99" s="349"/>
      <c r="AB99" s="349"/>
      <c r="AC99" s="349"/>
      <c r="AD99" s="349"/>
      <c r="AE99" s="349"/>
      <c r="AF99" s="349"/>
      <c r="AG99" s="349"/>
      <c r="AH99" s="349"/>
      <c r="AI99" s="349"/>
      <c r="AJ99" s="349"/>
      <c r="AK99" s="349"/>
      <c r="AL99" s="349"/>
      <c r="AM99" s="349"/>
      <c r="AN99" s="116"/>
      <c r="AO99" s="117"/>
    </row>
    <row r="100" spans="25:41">
      <c r="Y100" s="115"/>
      <c r="Z100" s="116"/>
      <c r="AA100" s="349"/>
      <c r="AB100" s="349"/>
      <c r="AC100" s="349"/>
      <c r="AD100" s="349"/>
      <c r="AE100" s="349"/>
      <c r="AF100" s="349"/>
      <c r="AG100" s="349"/>
      <c r="AH100" s="349"/>
      <c r="AI100" s="349"/>
      <c r="AJ100" s="349"/>
      <c r="AK100" s="349"/>
      <c r="AL100" s="349"/>
      <c r="AM100" s="349"/>
      <c r="AN100" s="116"/>
      <c r="AO100" s="117"/>
    </row>
    <row r="101" spans="25:41" ht="15.75" thickBot="1">
      <c r="Y101" s="138"/>
      <c r="Z101" s="149"/>
      <c r="AA101" s="149"/>
      <c r="AB101" s="149"/>
      <c r="AC101" s="149"/>
      <c r="AD101" s="149"/>
      <c r="AE101" s="149"/>
      <c r="AF101" s="149"/>
      <c r="AG101" s="149"/>
      <c r="AH101" s="149"/>
      <c r="AI101" s="149"/>
      <c r="AJ101" s="149"/>
      <c r="AK101" s="149"/>
      <c r="AL101" s="149"/>
      <c r="AM101" s="149"/>
      <c r="AN101" s="149"/>
      <c r="AO101" s="150"/>
    </row>
    <row r="105" spans="25:41" ht="15.75" thickBot="1"/>
    <row r="106" spans="25:41">
      <c r="Y106" s="112"/>
      <c r="Z106" s="113"/>
      <c r="AA106" s="113"/>
      <c r="AB106" s="113"/>
      <c r="AC106" s="113"/>
      <c r="AD106" s="113"/>
      <c r="AE106" s="113"/>
      <c r="AF106" s="114"/>
    </row>
    <row r="107" spans="25:41">
      <c r="Y107" s="115"/>
      <c r="Z107" s="116"/>
      <c r="AA107" s="116"/>
      <c r="AB107" s="116"/>
      <c r="AC107" s="116"/>
      <c r="AD107" s="116"/>
      <c r="AE107" s="116"/>
      <c r="AF107" s="117"/>
    </row>
    <row r="108" spans="25:41">
      <c r="Y108" s="115"/>
      <c r="Z108" s="116"/>
      <c r="AA108" s="116"/>
      <c r="AB108" s="116"/>
      <c r="AC108" s="116"/>
      <c r="AD108" s="116"/>
      <c r="AE108" s="116"/>
      <c r="AF108" s="117"/>
    </row>
    <row r="109" spans="25:41">
      <c r="Y109" s="115"/>
      <c r="Z109" s="116"/>
      <c r="AA109" s="116"/>
      <c r="AB109" s="116"/>
      <c r="AC109" s="116"/>
      <c r="AD109" s="116"/>
      <c r="AE109" s="116"/>
      <c r="AF109" s="117"/>
    </row>
    <row r="110" spans="25:41">
      <c r="Y110" s="115"/>
      <c r="Z110" s="116"/>
      <c r="AA110" s="116"/>
      <c r="AB110" s="116"/>
      <c r="AC110" s="116"/>
      <c r="AD110" s="116"/>
      <c r="AE110" s="116"/>
      <c r="AF110" s="117"/>
    </row>
    <row r="111" spans="25:41">
      <c r="Y111" s="115"/>
      <c r="Z111" s="116"/>
      <c r="AA111" s="116"/>
      <c r="AB111" s="116"/>
      <c r="AC111" s="116"/>
      <c r="AD111" s="116"/>
      <c r="AE111" s="116"/>
      <c r="AF111" s="117"/>
    </row>
    <row r="112" spans="25:41">
      <c r="Y112" s="115"/>
      <c r="Z112" s="116"/>
      <c r="AA112" s="116"/>
      <c r="AB112" s="116"/>
      <c r="AC112" s="116"/>
      <c r="AD112" s="116"/>
      <c r="AE112" s="116"/>
      <c r="AF112" s="117"/>
    </row>
    <row r="113" spans="21:32">
      <c r="Y113" s="115"/>
      <c r="Z113" s="116"/>
      <c r="AA113" s="116"/>
      <c r="AB113" s="116"/>
      <c r="AC113" s="116"/>
      <c r="AD113" s="116"/>
      <c r="AE113" s="116"/>
      <c r="AF113" s="117"/>
    </row>
    <row r="114" spans="21:32">
      <c r="Y114" s="115"/>
      <c r="Z114" s="116"/>
      <c r="AA114" s="116"/>
      <c r="AB114" s="116"/>
      <c r="AC114" s="116"/>
      <c r="AD114" s="116"/>
      <c r="AE114" s="116"/>
      <c r="AF114" s="117"/>
    </row>
    <row r="115" spans="21:32">
      <c r="Y115" s="115"/>
      <c r="Z115" s="116"/>
      <c r="AA115" s="116"/>
      <c r="AB115" s="116"/>
      <c r="AC115" s="116"/>
      <c r="AD115" s="116"/>
      <c r="AE115" s="116"/>
      <c r="AF115" s="117"/>
    </row>
    <row r="116" spans="21:32">
      <c r="Y116" s="115"/>
      <c r="Z116" s="116"/>
      <c r="AA116" s="116"/>
      <c r="AB116" s="116"/>
      <c r="AC116" s="116"/>
      <c r="AD116" s="116"/>
      <c r="AE116" s="116"/>
      <c r="AF116" s="117"/>
    </row>
    <row r="117" spans="21:32">
      <c r="Y117" s="115"/>
      <c r="Z117" s="116"/>
      <c r="AA117" s="116"/>
      <c r="AB117" s="116"/>
      <c r="AC117" s="116"/>
      <c r="AD117" s="116"/>
      <c r="AE117" s="116"/>
      <c r="AF117" s="117"/>
    </row>
    <row r="118" spans="21:32">
      <c r="Y118" s="115"/>
      <c r="Z118" s="349" t="s">
        <v>263</v>
      </c>
      <c r="AA118" s="349"/>
      <c r="AB118" s="349"/>
      <c r="AC118" s="349"/>
      <c r="AD118" s="349"/>
      <c r="AE118" s="349"/>
      <c r="AF118" s="117"/>
    </row>
    <row r="119" spans="21:32">
      <c r="Y119" s="115"/>
      <c r="Z119" s="349"/>
      <c r="AA119" s="349"/>
      <c r="AB119" s="349"/>
      <c r="AC119" s="349"/>
      <c r="AD119" s="349"/>
      <c r="AE119" s="349"/>
      <c r="AF119" s="117"/>
    </row>
    <row r="120" spans="21:32">
      <c r="Y120" s="115"/>
      <c r="Z120" s="349"/>
      <c r="AA120" s="349"/>
      <c r="AB120" s="349"/>
      <c r="AC120" s="349"/>
      <c r="AD120" s="349"/>
      <c r="AE120" s="349"/>
      <c r="AF120" s="117"/>
    </row>
    <row r="121" spans="21:32">
      <c r="Y121" s="115"/>
      <c r="Z121" s="116"/>
      <c r="AA121" s="116"/>
      <c r="AB121" s="116"/>
      <c r="AC121" s="116"/>
      <c r="AD121" s="116"/>
      <c r="AE121" s="116"/>
      <c r="AF121" s="117"/>
    </row>
    <row r="122" spans="21:32" ht="15.75" thickBot="1">
      <c r="Y122" s="138"/>
      <c r="Z122" s="149"/>
      <c r="AA122" s="149"/>
      <c r="AB122" s="149"/>
      <c r="AC122" s="149"/>
      <c r="AD122" s="149"/>
      <c r="AE122" s="149"/>
      <c r="AF122" s="150"/>
    </row>
    <row r="126" spans="21:32" ht="16.5" customHeight="1">
      <c r="U126" s="74"/>
      <c r="V126" s="74"/>
      <c r="W126" s="74"/>
    </row>
    <row r="127" spans="21:32">
      <c r="U127" s="74"/>
      <c r="V127" s="74"/>
      <c r="W127" s="74"/>
    </row>
  </sheetData>
  <mergeCells count="20">
    <mergeCell ref="A12:C12"/>
    <mergeCell ref="A13:C13"/>
    <mergeCell ref="A15:C15"/>
    <mergeCell ref="A16:C16"/>
    <mergeCell ref="O16:W19"/>
    <mergeCell ref="A17:C17"/>
    <mergeCell ref="A19:C19"/>
    <mergeCell ref="Z24:AN25"/>
    <mergeCell ref="AA44:AL47"/>
    <mergeCell ref="B24:C24"/>
    <mergeCell ref="D24:E24"/>
    <mergeCell ref="F24:G24"/>
    <mergeCell ref="A58:B58"/>
    <mergeCell ref="Z118:AE120"/>
    <mergeCell ref="A65:C65"/>
    <mergeCell ref="AA97:AM100"/>
    <mergeCell ref="A47:B47"/>
    <mergeCell ref="A55:B55"/>
    <mergeCell ref="A56:B56"/>
    <mergeCell ref="A57:B57"/>
  </mergeCells>
  <hyperlinks>
    <hyperlink ref="A5" location="Wastewater" display="Wastewater"/>
    <hyperlink ref="A4" location="ActualFlowRate" display="ActualFlowRate"/>
    <hyperlink ref="A3" location="WaterHeaterParameters" display="WaterHeaterParameters"/>
    <hyperlink ref="G9" location="'Current Input Assumptions'!A1" display="back to top"/>
    <hyperlink ref="G22" location="'Current Input Assumptions'!A1" display="back to top"/>
    <hyperlink ref="G34" location="'Current Input Assumptions'!A1" display="back to top"/>
    <hyperlink ref="G53" location="'Current Input Assumptions'!A1" display="back to top"/>
    <hyperlink ref="A6" location="Costs" display="Showerhead Costs"/>
    <hyperlink ref="G62" location="'Current Input Assumptions'!A1" display="back to top"/>
    <hyperlink ref="A7" location="InstallationRates" display="Installation Rates"/>
  </hyperlinks>
  <pageMargins left="0.7" right="0.7" top="0.75" bottom="0.75" header="0.3" footer="0.3"/>
  <pageSetup orientation="portrait" verticalDpi="0" r:id="rId1"/>
  <drawing r:id="rId2"/>
  <legacyDrawing r:id="rId3"/>
</worksheet>
</file>

<file path=xl/worksheets/sheet18.xml><?xml version="1.0" encoding="utf-8"?>
<worksheet xmlns="http://schemas.openxmlformats.org/spreadsheetml/2006/main" xmlns:r="http://schemas.openxmlformats.org/officeDocument/2006/relationships">
  <sheetPr>
    <tabColor theme="6" tint="0.39997558519241921"/>
  </sheetPr>
  <dimension ref="A1:AO127"/>
  <sheetViews>
    <sheetView workbookViewId="0">
      <selection activeCell="A20" sqref="A20:E20"/>
    </sheetView>
  </sheetViews>
  <sheetFormatPr defaultRowHeight="15"/>
  <cols>
    <col min="1" max="6" width="11.7109375" style="69" customWidth="1"/>
    <col min="7" max="7" width="14.5703125" style="69" customWidth="1"/>
    <col min="8" max="16384" width="9.140625" style="69"/>
  </cols>
  <sheetData>
    <row r="1" spans="1:41" ht="15.75" thickBot="1"/>
    <row r="2" spans="1:41">
      <c r="A2" s="99" t="s">
        <v>204</v>
      </c>
      <c r="B2" s="100"/>
      <c r="C2" s="100"/>
      <c r="D2" s="100"/>
      <c r="F2" s="101" t="s">
        <v>205</v>
      </c>
      <c r="G2" s="102"/>
      <c r="H2" s="102"/>
      <c r="I2" s="102"/>
      <c r="J2" s="102"/>
      <c r="K2" s="103"/>
    </row>
    <row r="3" spans="1:41" ht="15.75" thickBot="1">
      <c r="A3" s="104" t="str">
        <f>A9</f>
        <v>Water Heater Parameters</v>
      </c>
      <c r="B3" s="105"/>
      <c r="C3" s="105"/>
      <c r="D3" s="105"/>
      <c r="F3" s="106" t="s">
        <v>206</v>
      </c>
      <c r="G3" s="107"/>
      <c r="H3" s="107"/>
      <c r="I3" s="107"/>
      <c r="J3" s="107"/>
      <c r="K3" s="108"/>
    </row>
    <row r="4" spans="1:41" ht="15.75" thickBot="1">
      <c r="A4" s="104" t="str">
        <f>A22</f>
        <v>Actual Flow Rate as a Percentage of Rated Flow Rate</v>
      </c>
      <c r="B4" s="105"/>
      <c r="C4" s="105"/>
      <c r="D4" s="105"/>
      <c r="F4" s="109" t="s">
        <v>207</v>
      </c>
      <c r="G4" s="110"/>
      <c r="H4" s="110"/>
      <c r="I4" s="110"/>
      <c r="J4" s="110"/>
      <c r="K4" s="111"/>
      <c r="O4" s="112"/>
      <c r="P4" s="113"/>
      <c r="Q4" s="113"/>
      <c r="R4" s="113"/>
      <c r="S4" s="113"/>
      <c r="T4" s="113"/>
      <c r="U4" s="113"/>
      <c r="V4" s="113"/>
      <c r="W4" s="114"/>
    </row>
    <row r="5" spans="1:41">
      <c r="A5" s="104" t="str">
        <f>A34</f>
        <v>Wastewater</v>
      </c>
      <c r="B5" s="105"/>
      <c r="C5" s="105"/>
      <c r="D5" s="105"/>
      <c r="O5" s="115"/>
      <c r="P5" s="116"/>
      <c r="Q5" s="116"/>
      <c r="R5" s="116"/>
      <c r="S5" s="116"/>
      <c r="T5" s="116"/>
      <c r="U5" s="116"/>
      <c r="V5" s="116"/>
      <c r="W5" s="117"/>
      <c r="Y5" s="115"/>
      <c r="Z5" s="116"/>
      <c r="AA5" s="116"/>
      <c r="AB5" s="116"/>
      <c r="AC5" s="116"/>
      <c r="AD5" s="116"/>
      <c r="AE5" s="116"/>
      <c r="AF5" s="116"/>
      <c r="AG5" s="116"/>
      <c r="AH5" s="116"/>
      <c r="AI5" s="116"/>
      <c r="AJ5" s="116"/>
      <c r="AK5" s="116"/>
      <c r="AL5" s="116"/>
      <c r="AM5" s="116"/>
      <c r="AN5" s="117"/>
    </row>
    <row r="6" spans="1:41">
      <c r="A6" s="104" t="s">
        <v>208</v>
      </c>
      <c r="B6" s="105"/>
      <c r="C6" s="105"/>
      <c r="D6" s="105"/>
      <c r="O6" s="115"/>
      <c r="P6" s="116"/>
      <c r="Q6" s="116"/>
      <c r="R6" s="116"/>
      <c r="S6" s="116"/>
      <c r="T6" s="116"/>
      <c r="U6" s="116"/>
      <c r="V6" s="116"/>
      <c r="W6" s="117"/>
      <c r="Y6" s="115"/>
      <c r="Z6" s="116"/>
      <c r="AA6" s="116"/>
      <c r="AB6" s="116"/>
      <c r="AC6" s="116"/>
      <c r="AD6" s="116"/>
      <c r="AE6" s="116"/>
      <c r="AF6" s="116"/>
      <c r="AG6" s="116"/>
      <c r="AH6" s="116"/>
      <c r="AI6" s="116"/>
      <c r="AJ6" s="116"/>
      <c r="AK6" s="116"/>
      <c r="AL6" s="116"/>
      <c r="AM6" s="116"/>
      <c r="AN6" s="117"/>
    </row>
    <row r="7" spans="1:41">
      <c r="A7" s="104" t="s">
        <v>209</v>
      </c>
      <c r="B7" s="105"/>
      <c r="C7" s="105"/>
      <c r="D7" s="105"/>
      <c r="O7" s="115"/>
      <c r="P7" s="116"/>
      <c r="Q7" s="116"/>
      <c r="R7" s="116"/>
      <c r="S7" s="116"/>
      <c r="T7" s="116"/>
      <c r="U7" s="116"/>
      <c r="V7" s="116"/>
      <c r="W7" s="117"/>
      <c r="Y7" s="115"/>
      <c r="Z7" s="116"/>
      <c r="AA7" s="116"/>
      <c r="AB7" s="116"/>
      <c r="AC7" s="116"/>
      <c r="AD7" s="116"/>
      <c r="AE7" s="116"/>
      <c r="AF7" s="116"/>
      <c r="AG7" s="116"/>
      <c r="AH7" s="116"/>
      <c r="AI7" s="116"/>
      <c r="AJ7" s="116"/>
      <c r="AK7" s="116"/>
      <c r="AL7" s="116"/>
      <c r="AM7" s="116"/>
      <c r="AN7" s="117"/>
    </row>
    <row r="8" spans="1:41">
      <c r="O8" s="115"/>
      <c r="P8" s="116"/>
      <c r="Q8" s="116"/>
      <c r="R8" s="116"/>
      <c r="S8" s="116"/>
      <c r="T8" s="116"/>
      <c r="U8" s="116"/>
      <c r="V8" s="116"/>
      <c r="W8" s="117"/>
      <c r="Y8" s="115"/>
      <c r="Z8" s="116"/>
      <c r="AA8" s="116"/>
      <c r="AB8" s="116"/>
      <c r="AC8" s="116"/>
      <c r="AD8" s="116"/>
      <c r="AE8" s="116"/>
      <c r="AF8" s="116"/>
      <c r="AG8" s="116"/>
      <c r="AH8" s="116"/>
      <c r="AI8" s="116"/>
      <c r="AJ8" s="116"/>
      <c r="AK8" s="116"/>
      <c r="AL8" s="116"/>
      <c r="AM8" s="116"/>
      <c r="AN8" s="117"/>
    </row>
    <row r="9" spans="1:41">
      <c r="A9" s="118" t="s">
        <v>210</v>
      </c>
      <c r="B9" s="119"/>
      <c r="C9" s="119"/>
      <c r="D9" s="119"/>
      <c r="E9" s="119"/>
      <c r="F9" s="119"/>
      <c r="G9" s="120" t="s">
        <v>211</v>
      </c>
      <c r="H9" s="119"/>
      <c r="I9" s="119"/>
      <c r="J9" s="119"/>
      <c r="K9" s="119"/>
      <c r="L9" s="121"/>
      <c r="M9" s="121"/>
      <c r="N9" s="121"/>
      <c r="O9" s="115"/>
      <c r="P9" s="116"/>
      <c r="Q9" s="116"/>
      <c r="R9" s="116"/>
      <c r="S9" s="116"/>
      <c r="T9" s="116"/>
      <c r="U9" s="116"/>
      <c r="V9" s="116"/>
      <c r="W9" s="117"/>
      <c r="Y9" s="115"/>
      <c r="Z9" s="116"/>
      <c r="AA9" s="116"/>
      <c r="AB9" s="116"/>
      <c r="AC9" s="116"/>
      <c r="AD9" s="116"/>
      <c r="AE9" s="116"/>
      <c r="AF9" s="116"/>
      <c r="AG9" s="116"/>
      <c r="AH9" s="116"/>
      <c r="AI9" s="116"/>
      <c r="AJ9" s="116"/>
      <c r="AK9" s="116"/>
      <c r="AL9" s="116"/>
      <c r="AM9" s="116"/>
      <c r="AN9" s="117"/>
      <c r="AO9" s="116"/>
    </row>
    <row r="10" spans="1:41">
      <c r="B10" s="122"/>
      <c r="C10" s="121"/>
      <c r="D10" s="121"/>
      <c r="E10" s="121"/>
      <c r="F10" s="121"/>
      <c r="G10" s="121"/>
      <c r="H10" s="121"/>
      <c r="I10" s="121"/>
      <c r="J10" s="121"/>
      <c r="K10" s="121"/>
      <c r="L10" s="121"/>
      <c r="M10" s="121"/>
      <c r="N10" s="121"/>
      <c r="O10" s="115"/>
      <c r="P10" s="116"/>
      <c r="Q10" s="116"/>
      <c r="R10" s="116"/>
      <c r="S10" s="116"/>
      <c r="T10" s="116"/>
      <c r="U10" s="116"/>
      <c r="V10" s="116"/>
      <c r="W10" s="117"/>
      <c r="Y10" s="115"/>
      <c r="Z10" s="116"/>
      <c r="AA10" s="116"/>
      <c r="AB10" s="116"/>
      <c r="AC10" s="116"/>
      <c r="AD10" s="116"/>
      <c r="AE10" s="116"/>
      <c r="AF10" s="116"/>
      <c r="AG10" s="116"/>
      <c r="AH10" s="116"/>
      <c r="AI10" s="116"/>
      <c r="AJ10" s="116"/>
      <c r="AK10" s="116"/>
      <c r="AL10" s="116"/>
      <c r="AM10" s="116"/>
      <c r="AN10" s="117"/>
      <c r="AO10" s="116"/>
    </row>
    <row r="11" spans="1:41" ht="15.75" thickBot="1">
      <c r="A11" s="123" t="s">
        <v>212</v>
      </c>
      <c r="B11" s="123"/>
      <c r="C11" s="124"/>
      <c r="D11" s="124"/>
      <c r="E11" s="121"/>
      <c r="F11" s="121"/>
      <c r="G11" s="121"/>
      <c r="H11" s="121"/>
      <c r="I11" s="121"/>
      <c r="J11" s="121"/>
      <c r="K11" s="121"/>
      <c r="L11" s="121"/>
      <c r="M11" s="121"/>
      <c r="N11" s="121"/>
      <c r="O11" s="115"/>
      <c r="P11" s="116"/>
      <c r="Q11" s="116"/>
      <c r="R11" s="116"/>
      <c r="S11" s="116"/>
      <c r="T11" s="116"/>
      <c r="U11" s="116"/>
      <c r="V11" s="116"/>
      <c r="W11" s="117"/>
      <c r="Y11" s="115"/>
      <c r="Z11" s="116"/>
      <c r="AA11" s="116"/>
      <c r="AB11" s="116"/>
      <c r="AC11" s="116"/>
      <c r="AD11" s="116"/>
      <c r="AE11" s="116"/>
      <c r="AF11" s="116"/>
      <c r="AG11" s="116"/>
      <c r="AH11" s="116"/>
      <c r="AI11" s="116"/>
      <c r="AJ11" s="116"/>
      <c r="AK11" s="116"/>
      <c r="AL11" s="116"/>
      <c r="AM11" s="116"/>
      <c r="AN11" s="117"/>
      <c r="AO11" s="116"/>
    </row>
    <row r="12" spans="1:41" ht="16.5" thickTop="1" thickBot="1">
      <c r="A12" s="358" t="s">
        <v>200</v>
      </c>
      <c r="B12" s="359"/>
      <c r="C12" s="360"/>
      <c r="D12" s="125">
        <v>0.98</v>
      </c>
      <c r="E12" s="121"/>
      <c r="F12" s="121"/>
      <c r="G12" s="296">
        <v>2</v>
      </c>
      <c r="H12" s="297" t="s">
        <v>551</v>
      </c>
      <c r="I12" s="297"/>
      <c r="J12" s="121"/>
      <c r="K12" s="121"/>
      <c r="L12" s="121"/>
      <c r="M12" s="121"/>
      <c r="N12" s="121"/>
      <c r="O12" s="115"/>
      <c r="P12" s="116"/>
      <c r="Q12" s="116"/>
      <c r="R12" s="116"/>
      <c r="S12" s="116"/>
      <c r="T12" s="116"/>
      <c r="U12" s="116"/>
      <c r="V12" s="116"/>
      <c r="W12" s="117"/>
      <c r="Y12" s="115"/>
      <c r="Z12" s="116"/>
      <c r="AA12" s="116"/>
      <c r="AB12" s="116"/>
      <c r="AC12" s="116"/>
      <c r="AD12" s="116"/>
      <c r="AE12" s="116"/>
      <c r="AF12" s="116"/>
      <c r="AG12" s="116"/>
      <c r="AH12" s="116"/>
      <c r="AI12" s="116"/>
      <c r="AJ12" s="116"/>
      <c r="AK12" s="116"/>
      <c r="AL12" s="116"/>
      <c r="AM12" s="116"/>
      <c r="AN12" s="117"/>
      <c r="AO12" s="116"/>
    </row>
    <row r="13" spans="1:41" ht="16.5" thickTop="1" thickBot="1">
      <c r="A13" s="358" t="s">
        <v>201</v>
      </c>
      <c r="B13" s="359"/>
      <c r="C13" s="360"/>
      <c r="D13" s="125">
        <v>0.75</v>
      </c>
      <c r="E13" s="121"/>
      <c r="F13" s="121"/>
      <c r="G13" s="121"/>
      <c r="H13" s="121"/>
      <c r="I13" s="121"/>
      <c r="J13" s="121"/>
      <c r="K13" s="121"/>
      <c r="L13" s="121"/>
      <c r="M13" s="121"/>
      <c r="N13" s="121"/>
      <c r="O13" s="115"/>
      <c r="P13" s="116"/>
      <c r="Q13" s="116"/>
      <c r="R13" s="116"/>
      <c r="S13" s="116"/>
      <c r="T13" s="116"/>
      <c r="U13" s="116"/>
      <c r="V13" s="116"/>
      <c r="W13" s="117"/>
      <c r="Y13" s="115"/>
      <c r="Z13" s="116"/>
      <c r="AA13" s="116"/>
      <c r="AB13" s="116"/>
      <c r="AC13" s="116"/>
      <c r="AD13" s="116"/>
      <c r="AE13" s="116"/>
      <c r="AF13" s="116"/>
      <c r="AG13" s="116"/>
      <c r="AH13" s="116"/>
      <c r="AI13" s="116"/>
      <c r="AJ13" s="116"/>
      <c r="AK13" s="116"/>
      <c r="AL13" s="116"/>
      <c r="AM13" s="116"/>
      <c r="AN13" s="117"/>
      <c r="AO13" s="116"/>
    </row>
    <row r="14" spans="1:41" ht="16.5" thickTop="1" thickBot="1">
      <c r="A14" s="123" t="s">
        <v>213</v>
      </c>
      <c r="B14" s="123"/>
      <c r="C14" s="126"/>
      <c r="D14" s="127"/>
      <c r="E14" s="121"/>
      <c r="F14" s="121"/>
      <c r="G14" s="121"/>
      <c r="H14" s="121"/>
      <c r="I14" s="121"/>
      <c r="J14" s="121"/>
      <c r="K14" s="121"/>
      <c r="L14" s="121"/>
      <c r="M14" s="121"/>
      <c r="N14" s="121"/>
      <c r="O14" s="115"/>
      <c r="P14" s="116"/>
      <c r="Q14" s="116"/>
      <c r="R14" s="116"/>
      <c r="S14" s="116"/>
      <c r="T14" s="116"/>
      <c r="U14" s="116"/>
      <c r="V14" s="116"/>
      <c r="W14" s="117"/>
      <c r="Y14" s="115"/>
      <c r="Z14" s="116"/>
      <c r="AA14" s="116"/>
      <c r="AB14" s="116"/>
      <c r="AC14" s="116"/>
      <c r="AD14" s="116"/>
      <c r="AE14" s="116"/>
      <c r="AF14" s="116"/>
      <c r="AG14" s="116"/>
      <c r="AH14" s="116"/>
      <c r="AI14" s="116"/>
      <c r="AJ14" s="116"/>
      <c r="AK14" s="116"/>
      <c r="AL14" s="116"/>
      <c r="AM14" s="116"/>
      <c r="AN14" s="117"/>
      <c r="AO14" s="116"/>
    </row>
    <row r="15" spans="1:41" ht="16.5" thickTop="1" thickBot="1">
      <c r="A15" s="358" t="s">
        <v>214</v>
      </c>
      <c r="B15" s="359"/>
      <c r="C15" s="360"/>
      <c r="D15" s="128">
        <f>D17*29.3</f>
        <v>2.4436200000000001E-3</v>
      </c>
      <c r="E15" s="121"/>
      <c r="F15" s="121"/>
      <c r="G15" s="121"/>
      <c r="H15" s="121"/>
      <c r="I15" s="121"/>
      <c r="J15" s="121"/>
      <c r="K15" s="121"/>
      <c r="L15" s="121"/>
      <c r="M15" s="121"/>
      <c r="N15" s="121"/>
      <c r="O15" s="115"/>
      <c r="P15" s="116"/>
      <c r="Q15" s="116"/>
      <c r="R15" s="116"/>
      <c r="S15" s="116"/>
      <c r="T15" s="116"/>
      <c r="U15" s="116"/>
      <c r="V15" s="116"/>
      <c r="W15" s="117"/>
      <c r="Y15" s="115"/>
      <c r="Z15" s="116"/>
      <c r="AA15" s="116"/>
      <c r="AB15" s="116"/>
      <c r="AC15" s="116"/>
      <c r="AD15" s="116"/>
      <c r="AE15" s="116"/>
      <c r="AF15" s="116"/>
      <c r="AG15" s="116"/>
      <c r="AH15" s="116"/>
      <c r="AI15" s="116"/>
      <c r="AJ15" s="116"/>
      <c r="AK15" s="116"/>
      <c r="AL15" s="116"/>
      <c r="AM15" s="116"/>
      <c r="AN15" s="117"/>
      <c r="AO15" s="116"/>
    </row>
    <row r="16" spans="1:41" ht="16.5" thickTop="1" thickBot="1">
      <c r="A16" s="358" t="s">
        <v>215</v>
      </c>
      <c r="B16" s="359"/>
      <c r="C16" s="360"/>
      <c r="D16" s="129">
        <v>8.34</v>
      </c>
      <c r="E16" s="121"/>
      <c r="F16" s="121"/>
      <c r="G16" s="121"/>
      <c r="H16" s="121"/>
      <c r="I16" s="121"/>
      <c r="J16" s="121"/>
      <c r="K16" s="121"/>
      <c r="L16" s="121"/>
      <c r="M16" s="121"/>
      <c r="N16" s="121"/>
      <c r="O16" s="361" t="s">
        <v>216</v>
      </c>
      <c r="P16" s="349"/>
      <c r="Q16" s="349"/>
      <c r="R16" s="349"/>
      <c r="S16" s="349"/>
      <c r="T16" s="349"/>
      <c r="U16" s="349"/>
      <c r="V16" s="349"/>
      <c r="W16" s="353"/>
      <c r="Y16" s="115"/>
      <c r="Z16" s="116"/>
      <c r="AA16" s="116"/>
      <c r="AB16" s="116"/>
      <c r="AC16" s="116"/>
      <c r="AD16" s="116"/>
      <c r="AE16" s="116"/>
      <c r="AF16" s="116"/>
      <c r="AG16" s="116"/>
      <c r="AH16" s="116"/>
      <c r="AI16" s="116"/>
      <c r="AJ16" s="116"/>
      <c r="AK16" s="116"/>
      <c r="AL16" s="116"/>
      <c r="AM16" s="116"/>
      <c r="AN16" s="117"/>
      <c r="AO16" s="116"/>
    </row>
    <row r="17" spans="1:41" ht="16.5" customHeight="1" thickTop="1" thickBot="1">
      <c r="A17" s="358" t="s">
        <v>217</v>
      </c>
      <c r="B17" s="359"/>
      <c r="C17" s="360"/>
      <c r="D17" s="129">
        <f>D16/100000</f>
        <v>8.3399999999999994E-5</v>
      </c>
      <c r="E17" s="121"/>
      <c r="F17" s="121"/>
      <c r="G17" s="121"/>
      <c r="H17" s="121"/>
      <c r="I17" s="121"/>
      <c r="J17" s="121"/>
      <c r="K17" s="121"/>
      <c r="L17" s="121"/>
      <c r="M17" s="121"/>
      <c r="N17" s="121"/>
      <c r="O17" s="361"/>
      <c r="P17" s="349"/>
      <c r="Q17" s="349"/>
      <c r="R17" s="349"/>
      <c r="S17" s="349"/>
      <c r="T17" s="349"/>
      <c r="U17" s="349"/>
      <c r="V17" s="349"/>
      <c r="W17" s="353"/>
      <c r="Y17" s="115"/>
      <c r="Z17" s="116"/>
      <c r="AA17" s="116"/>
      <c r="AB17" s="116"/>
      <c r="AC17" s="116"/>
      <c r="AD17" s="116"/>
      <c r="AE17" s="116"/>
      <c r="AF17" s="116"/>
      <c r="AG17" s="116"/>
      <c r="AH17" s="116"/>
      <c r="AI17" s="116"/>
      <c r="AJ17" s="116"/>
      <c r="AK17" s="116"/>
      <c r="AL17" s="116"/>
      <c r="AM17" s="116"/>
      <c r="AN17" s="117"/>
      <c r="AO17" s="116"/>
    </row>
    <row r="18" spans="1:41" ht="16.5" thickTop="1" thickBot="1">
      <c r="A18" s="123" t="s">
        <v>218</v>
      </c>
      <c r="B18" s="123"/>
      <c r="C18" s="126"/>
      <c r="D18" s="127"/>
      <c r="E18" s="121"/>
      <c r="F18" s="121"/>
      <c r="G18" s="121"/>
      <c r="H18" s="121"/>
      <c r="I18" s="121"/>
      <c r="J18" s="121"/>
      <c r="K18" s="121"/>
      <c r="L18" s="121"/>
      <c r="M18" s="121"/>
      <c r="N18" s="121"/>
      <c r="O18" s="361"/>
      <c r="P18" s="349"/>
      <c r="Q18" s="349"/>
      <c r="R18" s="349"/>
      <c r="S18" s="349"/>
      <c r="T18" s="349"/>
      <c r="U18" s="349"/>
      <c r="V18" s="349"/>
      <c r="W18" s="353"/>
      <c r="Y18" s="115"/>
      <c r="Z18" s="116"/>
      <c r="AA18" s="116"/>
      <c r="AB18" s="116"/>
      <c r="AC18" s="116"/>
      <c r="AD18" s="116"/>
      <c r="AE18" s="116"/>
      <c r="AF18" s="116"/>
      <c r="AG18" s="116"/>
      <c r="AH18" s="116"/>
      <c r="AI18" s="116"/>
      <c r="AJ18" s="116"/>
      <c r="AK18" s="116"/>
      <c r="AL18" s="116"/>
      <c r="AM18" s="116"/>
      <c r="AN18" s="117"/>
      <c r="AO18" s="116"/>
    </row>
    <row r="19" spans="1:41" ht="16.5" thickTop="1" thickBot="1">
      <c r="A19" s="358" t="s">
        <v>219</v>
      </c>
      <c r="B19" s="359"/>
      <c r="C19" s="360"/>
      <c r="D19" s="125">
        <f>[2]SATS!$D$47</f>
        <v>0.94699999999999995</v>
      </c>
      <c r="E19" s="130" t="s">
        <v>55</v>
      </c>
      <c r="G19" s="121"/>
      <c r="H19" s="121"/>
      <c r="I19" s="121"/>
      <c r="J19" s="121"/>
      <c r="K19" s="121"/>
      <c r="L19" s="121"/>
      <c r="M19" s="121"/>
      <c r="N19" s="121"/>
      <c r="O19" s="362"/>
      <c r="P19" s="354"/>
      <c r="Q19" s="354"/>
      <c r="R19" s="354"/>
      <c r="S19" s="354"/>
      <c r="T19" s="354"/>
      <c r="U19" s="354"/>
      <c r="V19" s="354"/>
      <c r="W19" s="355"/>
      <c r="Y19" s="115"/>
      <c r="Z19" s="116"/>
      <c r="AA19" s="116"/>
      <c r="AB19" s="116"/>
      <c r="AC19" s="116"/>
      <c r="AD19" s="116"/>
      <c r="AE19" s="116"/>
      <c r="AF19" s="116"/>
      <c r="AG19" s="116"/>
      <c r="AH19" s="116"/>
      <c r="AI19" s="116"/>
      <c r="AJ19" s="116"/>
      <c r="AK19" s="116"/>
      <c r="AL19" s="116"/>
      <c r="AM19" s="116"/>
      <c r="AN19" s="117"/>
      <c r="AO19" s="116"/>
    </row>
    <row r="20" spans="1:41" ht="15.75" thickTop="1">
      <c r="A20" s="121" t="s">
        <v>645</v>
      </c>
      <c r="B20" s="121"/>
      <c r="C20" s="121"/>
      <c r="D20" s="121">
        <v>1.92</v>
      </c>
      <c r="E20" s="130" t="s">
        <v>55</v>
      </c>
      <c r="F20" s="121"/>
      <c r="G20" s="121"/>
      <c r="H20" s="121"/>
      <c r="I20" s="121"/>
      <c r="J20" s="121"/>
      <c r="K20" s="121"/>
      <c r="L20" s="121"/>
      <c r="M20" s="121"/>
      <c r="N20" s="121"/>
      <c r="Y20" s="115"/>
      <c r="Z20" s="116"/>
      <c r="AA20" s="116"/>
      <c r="AB20" s="116"/>
      <c r="AC20" s="116"/>
      <c r="AD20" s="116"/>
      <c r="AE20" s="116"/>
      <c r="AF20" s="116"/>
      <c r="AG20" s="116"/>
      <c r="AH20" s="116"/>
      <c r="AI20" s="116"/>
      <c r="AJ20" s="116"/>
      <c r="AK20" s="116"/>
      <c r="AL20" s="116"/>
      <c r="AM20" s="116"/>
      <c r="AN20" s="117"/>
      <c r="AO20" s="116"/>
    </row>
    <row r="21" spans="1:41">
      <c r="A21" s="121"/>
      <c r="B21" s="121"/>
      <c r="C21" s="121"/>
      <c r="D21" s="121"/>
      <c r="E21" s="121"/>
      <c r="F21" s="121"/>
      <c r="G21" s="121"/>
      <c r="H21" s="121"/>
      <c r="I21" s="121"/>
      <c r="J21" s="121"/>
      <c r="K21" s="121"/>
      <c r="L21" s="121"/>
      <c r="M21" s="121"/>
      <c r="N21" s="121"/>
      <c r="Y21" s="115"/>
      <c r="Z21" s="116"/>
      <c r="AA21" s="116"/>
      <c r="AB21" s="116"/>
      <c r="AC21" s="116"/>
      <c r="AD21" s="116"/>
      <c r="AE21" s="116"/>
      <c r="AF21" s="116"/>
      <c r="AG21" s="116"/>
      <c r="AH21" s="116"/>
      <c r="AI21" s="116"/>
      <c r="AJ21" s="116"/>
      <c r="AK21" s="116"/>
      <c r="AL21" s="116"/>
      <c r="AM21" s="116"/>
      <c r="AN21" s="117"/>
      <c r="AO21" s="116"/>
    </row>
    <row r="22" spans="1:41">
      <c r="A22" s="131" t="s">
        <v>220</v>
      </c>
      <c r="B22" s="119"/>
      <c r="C22" s="119"/>
      <c r="D22" s="119"/>
      <c r="E22" s="119"/>
      <c r="F22" s="119"/>
      <c r="G22" s="120" t="s">
        <v>211</v>
      </c>
      <c r="H22" s="119"/>
      <c r="I22" s="119"/>
      <c r="J22" s="119"/>
      <c r="K22" s="119"/>
      <c r="L22" s="121"/>
      <c r="M22" s="121"/>
      <c r="N22" s="121"/>
      <c r="Y22" s="115"/>
      <c r="Z22" s="116"/>
      <c r="AA22" s="116"/>
      <c r="AB22" s="116"/>
      <c r="AC22" s="116"/>
      <c r="AD22" s="116"/>
      <c r="AE22" s="116"/>
      <c r="AF22" s="116"/>
      <c r="AG22" s="116"/>
      <c r="AH22" s="116"/>
      <c r="AI22" s="116"/>
      <c r="AJ22" s="116"/>
      <c r="AK22" s="116"/>
      <c r="AL22" s="116"/>
      <c r="AM22" s="116"/>
      <c r="AN22" s="117"/>
      <c r="AO22" s="116"/>
    </row>
    <row r="23" spans="1:41" ht="15.75" thickBot="1">
      <c r="A23" s="132"/>
      <c r="B23" s="121"/>
      <c r="C23" s="121"/>
      <c r="D23" s="121"/>
      <c r="E23" s="121"/>
      <c r="F23" s="121"/>
      <c r="G23" s="121"/>
      <c r="H23" s="133" t="s">
        <v>221</v>
      </c>
      <c r="I23" s="121"/>
      <c r="J23" s="121"/>
      <c r="K23" s="121"/>
      <c r="L23" s="121"/>
      <c r="M23" s="121"/>
      <c r="N23" s="121"/>
      <c r="Y23" s="115"/>
      <c r="Z23" s="116"/>
      <c r="AA23" s="116"/>
      <c r="AB23" s="116"/>
      <c r="AC23" s="116"/>
      <c r="AD23" s="116"/>
      <c r="AE23" s="116"/>
      <c r="AF23" s="116"/>
      <c r="AG23" s="116"/>
      <c r="AH23" s="116"/>
      <c r="AI23" s="116"/>
      <c r="AJ23" s="116"/>
      <c r="AK23" s="116"/>
      <c r="AL23" s="116"/>
      <c r="AM23" s="116"/>
      <c r="AN23" s="117"/>
      <c r="AO23" s="116"/>
    </row>
    <row r="24" spans="1:41" ht="16.5" thickTop="1" thickBot="1">
      <c r="A24" s="121"/>
      <c r="B24" s="356" t="s">
        <v>222</v>
      </c>
      <c r="C24" s="357"/>
      <c r="D24" s="356" t="s">
        <v>223</v>
      </c>
      <c r="E24" s="357"/>
      <c r="F24" s="356" t="s">
        <v>224</v>
      </c>
      <c r="G24" s="357"/>
      <c r="H24" s="121" t="s">
        <v>225</v>
      </c>
      <c r="I24" s="121"/>
      <c r="J24" s="121"/>
      <c r="K24" s="121"/>
      <c r="L24" s="121"/>
      <c r="M24" s="121"/>
      <c r="N24" s="121"/>
      <c r="Y24" s="115"/>
      <c r="Z24" s="349" t="s">
        <v>226</v>
      </c>
      <c r="AA24" s="349"/>
      <c r="AB24" s="349"/>
      <c r="AC24" s="349"/>
      <c r="AD24" s="349"/>
      <c r="AE24" s="349"/>
      <c r="AF24" s="349"/>
      <c r="AG24" s="349"/>
      <c r="AH24" s="349"/>
      <c r="AI24" s="349"/>
      <c r="AJ24" s="349"/>
      <c r="AK24" s="349"/>
      <c r="AL24" s="349"/>
      <c r="AM24" s="349"/>
      <c r="AN24" s="353"/>
      <c r="AO24" s="116"/>
    </row>
    <row r="25" spans="1:41" ht="46.5" thickTop="1" thickBot="1">
      <c r="A25" s="314" t="s">
        <v>227</v>
      </c>
      <c r="B25" s="135" t="s">
        <v>228</v>
      </c>
      <c r="C25" s="135" t="s">
        <v>229</v>
      </c>
      <c r="D25" s="135" t="s">
        <v>230</v>
      </c>
      <c r="E25" s="135" t="s">
        <v>231</v>
      </c>
      <c r="F25" s="135" t="s">
        <v>169</v>
      </c>
      <c r="G25" s="136" t="s">
        <v>232</v>
      </c>
      <c r="H25" s="133" t="s">
        <v>233</v>
      </c>
      <c r="I25" s="121"/>
      <c r="J25" s="121"/>
      <c r="K25" s="137"/>
      <c r="L25" s="137"/>
      <c r="M25" s="137"/>
      <c r="N25" s="137"/>
      <c r="Y25" s="138"/>
      <c r="Z25" s="354"/>
      <c r="AA25" s="354"/>
      <c r="AB25" s="354"/>
      <c r="AC25" s="354"/>
      <c r="AD25" s="354"/>
      <c r="AE25" s="354"/>
      <c r="AF25" s="354"/>
      <c r="AG25" s="354"/>
      <c r="AH25" s="354"/>
      <c r="AI25" s="354"/>
      <c r="AJ25" s="354"/>
      <c r="AK25" s="354"/>
      <c r="AL25" s="354"/>
      <c r="AM25" s="354"/>
      <c r="AN25" s="355"/>
      <c r="AO25" s="116"/>
    </row>
    <row r="26" spans="1:41" ht="16.5" thickTop="1" thickBot="1">
      <c r="A26" s="139">
        <v>2.5</v>
      </c>
      <c r="B26" s="140">
        <v>2.2000000000000002</v>
      </c>
      <c r="C26" s="141">
        <v>0.9</v>
      </c>
      <c r="D26" s="142">
        <v>7.84</v>
      </c>
      <c r="E26" s="141">
        <v>1</v>
      </c>
      <c r="F26" s="143">
        <v>0.73099999999999998</v>
      </c>
      <c r="G26" s="144">
        <f>55*(1-F26)+128*(F26)</f>
        <v>108.363</v>
      </c>
      <c r="H26" s="145" t="s">
        <v>234</v>
      </c>
      <c r="I26" s="121"/>
      <c r="J26" s="121"/>
      <c r="K26" s="121"/>
      <c r="L26" s="121"/>
      <c r="M26" s="121"/>
      <c r="N26" s="121"/>
    </row>
    <row r="27" spans="1:41" ht="16.5" thickTop="1" thickBot="1">
      <c r="A27" s="146">
        <v>2</v>
      </c>
      <c r="B27" s="140">
        <f>A27*C27</f>
        <v>1.8</v>
      </c>
      <c r="C27" s="141">
        <v>0.9</v>
      </c>
      <c r="D27" s="140">
        <f>E27*$D$26</f>
        <v>7.84</v>
      </c>
      <c r="E27" s="141">
        <v>1</v>
      </c>
      <c r="F27" s="143">
        <v>0.755</v>
      </c>
      <c r="G27" s="144">
        <f>55*(1-F27)+128*(F27)</f>
        <v>110.11499999999999</v>
      </c>
      <c r="H27" s="69" t="s">
        <v>235</v>
      </c>
      <c r="I27" s="121"/>
      <c r="J27" s="121"/>
      <c r="K27" s="121"/>
      <c r="L27" s="121"/>
      <c r="M27" s="121"/>
      <c r="N27" s="121"/>
      <c r="Y27" s="112"/>
      <c r="Z27" s="113"/>
      <c r="AA27" s="113"/>
      <c r="AB27" s="113"/>
      <c r="AC27" s="113"/>
      <c r="AD27" s="113"/>
      <c r="AE27" s="113"/>
      <c r="AF27" s="113"/>
      <c r="AG27" s="113"/>
      <c r="AH27" s="113"/>
      <c r="AI27" s="113"/>
      <c r="AJ27" s="113"/>
      <c r="AK27" s="113"/>
      <c r="AL27" s="113"/>
      <c r="AM27" s="113"/>
      <c r="AN27" s="113"/>
      <c r="AO27" s="114"/>
    </row>
    <row r="28" spans="1:41" ht="16.5" thickTop="1" thickBot="1">
      <c r="A28" s="146">
        <v>1.75</v>
      </c>
      <c r="B28" s="140">
        <f>A28*C28</f>
        <v>1.575</v>
      </c>
      <c r="C28" s="141">
        <v>0.9</v>
      </c>
      <c r="D28" s="140">
        <f>E28*$D$26</f>
        <v>7.84</v>
      </c>
      <c r="E28" s="141">
        <v>1</v>
      </c>
      <c r="F28" s="147">
        <f>F27+((B27-B28)*($F$27-$F$26)/($B$26-$B$27))</f>
        <v>0.76850000000000007</v>
      </c>
      <c r="G28" s="144">
        <f>55*(1-F28)+128*(F28)</f>
        <v>111.10050000000001</v>
      </c>
      <c r="H28" s="121" t="s">
        <v>236</v>
      </c>
      <c r="I28" s="121"/>
      <c r="J28" s="121"/>
      <c r="K28" s="121"/>
      <c r="L28" s="121"/>
      <c r="M28" s="121"/>
      <c r="N28" s="121"/>
      <c r="Y28" s="115"/>
      <c r="Z28" s="116"/>
      <c r="AA28" s="116"/>
      <c r="AB28" s="116"/>
      <c r="AC28" s="116"/>
      <c r="AD28" s="116"/>
      <c r="AE28" s="116"/>
      <c r="AF28" s="116"/>
      <c r="AG28" s="116"/>
      <c r="AH28" s="116"/>
      <c r="AI28" s="116"/>
      <c r="AJ28" s="116"/>
      <c r="AK28" s="116"/>
      <c r="AL28" s="116"/>
      <c r="AM28" s="116"/>
      <c r="AN28" s="116"/>
      <c r="AO28" s="117"/>
    </row>
    <row r="29" spans="1:41" ht="16.5" thickTop="1" thickBot="1">
      <c r="A29" s="146">
        <v>1.5</v>
      </c>
      <c r="B29" s="140">
        <f>A29*C29</f>
        <v>1.35</v>
      </c>
      <c r="C29" s="141">
        <v>0.9</v>
      </c>
      <c r="D29" s="140">
        <f>E29*$D$26</f>
        <v>7.84</v>
      </c>
      <c r="E29" s="141">
        <v>1</v>
      </c>
      <c r="F29" s="147">
        <f>F28+((B28-B29)*($F$27-$F$26)/($B$26-$B$27))</f>
        <v>0.78200000000000003</v>
      </c>
      <c r="G29" s="144">
        <f>55*(1-F29)+128*(F29)</f>
        <v>112.086</v>
      </c>
      <c r="H29" s="133" t="s">
        <v>237</v>
      </c>
      <c r="I29" s="121"/>
      <c r="J29" s="121"/>
      <c r="K29" s="121"/>
      <c r="L29" s="121"/>
      <c r="M29" s="121"/>
      <c r="N29" s="121"/>
      <c r="Y29" s="115"/>
      <c r="Z29" s="116"/>
      <c r="AA29" s="116"/>
      <c r="AB29" s="116"/>
      <c r="AC29" s="116"/>
      <c r="AD29" s="116"/>
      <c r="AE29" s="116"/>
      <c r="AF29" s="116"/>
      <c r="AG29" s="116"/>
      <c r="AH29" s="116"/>
      <c r="AI29" s="116"/>
      <c r="AJ29" s="116"/>
      <c r="AK29" s="116"/>
      <c r="AL29" s="116"/>
      <c r="AM29" s="116"/>
      <c r="AN29" s="116"/>
      <c r="AO29" s="117"/>
    </row>
    <row r="30" spans="1:41" ht="15.75" thickTop="1">
      <c r="A30" s="121"/>
      <c r="B30" s="121"/>
      <c r="C30" s="121"/>
      <c r="D30" s="121"/>
      <c r="E30" s="121"/>
      <c r="F30" s="121"/>
      <c r="G30" s="121"/>
      <c r="H30" s="121" t="s">
        <v>238</v>
      </c>
      <c r="I30" s="121"/>
      <c r="J30" s="121"/>
      <c r="K30" s="121"/>
      <c r="L30" s="121"/>
      <c r="M30" s="121"/>
      <c r="N30" s="121"/>
      <c r="Y30" s="115"/>
      <c r="Z30" s="116"/>
      <c r="AA30" s="116"/>
      <c r="AB30" s="116"/>
      <c r="AC30" s="116"/>
      <c r="AD30" s="116"/>
      <c r="AE30" s="116"/>
      <c r="AF30" s="116"/>
      <c r="AG30" s="116"/>
      <c r="AH30" s="116"/>
      <c r="AI30" s="116"/>
      <c r="AJ30" s="116"/>
      <c r="AK30" s="116"/>
      <c r="AL30" s="116"/>
      <c r="AM30" s="116"/>
      <c r="AN30" s="116"/>
      <c r="AO30" s="117"/>
    </row>
    <row r="31" spans="1:41">
      <c r="A31" s="121"/>
      <c r="B31" s="121"/>
      <c r="C31" s="121"/>
      <c r="D31" s="121"/>
      <c r="E31" s="121"/>
      <c r="F31" s="121"/>
      <c r="G31" s="121"/>
      <c r="H31" s="148" t="s">
        <v>239</v>
      </c>
      <c r="I31" s="121"/>
      <c r="J31" s="121"/>
      <c r="K31" s="121"/>
      <c r="L31" s="121"/>
      <c r="M31" s="121"/>
      <c r="N31" s="121"/>
      <c r="Y31" s="115"/>
      <c r="Z31" s="116"/>
      <c r="AA31" s="116"/>
      <c r="AB31" s="116"/>
      <c r="AC31" s="116"/>
      <c r="AD31" s="116"/>
      <c r="AE31" s="116"/>
      <c r="AF31" s="116"/>
      <c r="AG31" s="116"/>
      <c r="AH31" s="116"/>
      <c r="AI31" s="116"/>
      <c r="AJ31" s="116"/>
      <c r="AK31" s="116"/>
      <c r="AL31" s="116"/>
      <c r="AM31" s="116"/>
      <c r="AN31" s="116"/>
      <c r="AO31" s="117"/>
    </row>
    <row r="32" spans="1:41">
      <c r="A32" s="121"/>
      <c r="B32" s="121"/>
      <c r="C32" s="121"/>
      <c r="D32" s="121"/>
      <c r="E32" s="121"/>
      <c r="F32" s="121"/>
      <c r="G32" s="121"/>
      <c r="H32" s="148"/>
      <c r="I32" s="121"/>
      <c r="J32" s="121"/>
      <c r="K32" s="121"/>
      <c r="L32" s="121"/>
      <c r="M32" s="121"/>
      <c r="N32" s="121"/>
      <c r="Y32" s="115"/>
      <c r="Z32" s="116"/>
      <c r="AA32" s="116"/>
      <c r="AB32" s="116"/>
      <c r="AC32" s="116"/>
      <c r="AD32" s="116"/>
      <c r="AE32" s="116"/>
      <c r="AF32" s="116"/>
      <c r="AG32" s="116"/>
      <c r="AH32" s="116"/>
      <c r="AI32" s="116"/>
      <c r="AJ32" s="116"/>
      <c r="AK32" s="116"/>
      <c r="AL32" s="116"/>
      <c r="AM32" s="116"/>
      <c r="AN32" s="116"/>
      <c r="AO32" s="117"/>
    </row>
    <row r="33" spans="1:41">
      <c r="F33" s="121"/>
      <c r="G33" s="121"/>
      <c r="H33" s="121"/>
      <c r="Y33" s="115"/>
      <c r="Z33" s="116"/>
      <c r="AA33" s="116"/>
      <c r="AB33" s="116"/>
      <c r="AC33" s="116"/>
      <c r="AD33" s="116"/>
      <c r="AE33" s="116"/>
      <c r="AF33" s="116"/>
      <c r="AG33" s="116"/>
      <c r="AH33" s="116"/>
      <c r="AI33" s="116"/>
      <c r="AJ33" s="116"/>
      <c r="AK33" s="116"/>
      <c r="AL33" s="116"/>
      <c r="AM33" s="116"/>
      <c r="AN33" s="116"/>
      <c r="AO33" s="117"/>
    </row>
    <row r="34" spans="1:41">
      <c r="A34" s="152" t="s">
        <v>241</v>
      </c>
      <c r="B34" s="153"/>
      <c r="C34" s="153"/>
      <c r="D34" s="153"/>
      <c r="E34" s="153"/>
      <c r="F34" s="119"/>
      <c r="G34" s="120" t="s">
        <v>211</v>
      </c>
      <c r="H34" s="119"/>
      <c r="I34" s="153"/>
      <c r="J34" s="153"/>
      <c r="K34" s="153"/>
      <c r="Y34" s="115"/>
      <c r="Z34" s="116"/>
      <c r="AA34" s="116"/>
      <c r="AB34" s="116"/>
      <c r="AC34" s="116"/>
      <c r="AD34" s="116"/>
      <c r="AE34" s="116"/>
      <c r="AF34" s="116"/>
      <c r="AG34" s="116"/>
      <c r="AH34" s="116"/>
      <c r="AI34" s="116"/>
      <c r="AJ34" s="116"/>
      <c r="AK34" s="116"/>
      <c r="AL34" s="116"/>
      <c r="AM34" s="116"/>
      <c r="AN34" s="116"/>
      <c r="AO34" s="117"/>
    </row>
    <row r="35" spans="1:41" ht="15.75" customHeight="1">
      <c r="A35" s="121"/>
      <c r="B35" s="121"/>
      <c r="C35" s="121"/>
      <c r="D35" s="121"/>
      <c r="E35" s="121"/>
      <c r="F35" s="121"/>
      <c r="G35" s="121"/>
      <c r="H35" s="121"/>
      <c r="Y35" s="115"/>
      <c r="Z35" s="116"/>
      <c r="AA35" s="116"/>
      <c r="AB35" s="116"/>
      <c r="AC35" s="116"/>
      <c r="AD35" s="116"/>
      <c r="AE35" s="116"/>
      <c r="AF35" s="116"/>
      <c r="AG35" s="116"/>
      <c r="AH35" s="116"/>
      <c r="AI35" s="116"/>
      <c r="AJ35" s="116"/>
      <c r="AK35" s="116"/>
      <c r="AL35" s="116"/>
      <c r="AM35" s="116"/>
      <c r="AN35" s="116"/>
      <c r="AO35" s="117"/>
    </row>
    <row r="36" spans="1:41" ht="15.75" thickBot="1">
      <c r="A36" s="69" t="s">
        <v>641</v>
      </c>
      <c r="Y36" s="115"/>
      <c r="Z36" s="116"/>
      <c r="AA36" s="116"/>
      <c r="AB36" s="116"/>
      <c r="AC36" s="116"/>
      <c r="AD36" s="116"/>
      <c r="AE36" s="116"/>
      <c r="AF36" s="116"/>
      <c r="AG36" s="116"/>
      <c r="AH36" s="116"/>
      <c r="AI36" s="116"/>
      <c r="AJ36" s="116"/>
      <c r="AK36" s="116"/>
      <c r="AL36" s="116"/>
      <c r="AM36" s="116"/>
      <c r="AN36" s="116"/>
      <c r="AO36" s="117"/>
    </row>
    <row r="37" spans="1:41" ht="31.5" thickTop="1" thickBot="1">
      <c r="A37" s="154" t="s">
        <v>242</v>
      </c>
      <c r="B37" s="154" t="s">
        <v>243</v>
      </c>
      <c r="C37" s="154" t="s">
        <v>244</v>
      </c>
      <c r="D37" s="154" t="s">
        <v>245</v>
      </c>
      <c r="E37" s="154" t="s">
        <v>246</v>
      </c>
      <c r="F37" s="155"/>
      <c r="G37" s="156"/>
      <c r="H37" s="155"/>
      <c r="I37" s="155"/>
      <c r="J37" s="155"/>
      <c r="K37" s="155"/>
      <c r="L37" s="155"/>
      <c r="M37" s="155"/>
      <c r="N37" s="155"/>
      <c r="O37" s="155"/>
      <c r="P37" s="155"/>
      <c r="Q37" s="155"/>
      <c r="R37" s="155"/>
      <c r="S37" s="155"/>
      <c r="T37" s="155"/>
      <c r="Y37" s="115"/>
      <c r="Z37" s="116"/>
      <c r="AA37" s="116"/>
      <c r="AB37" s="116"/>
      <c r="AC37" s="116"/>
      <c r="AD37" s="116"/>
      <c r="AE37" s="116"/>
      <c r="AF37" s="116"/>
      <c r="AG37" s="116"/>
      <c r="AH37" s="116"/>
      <c r="AI37" s="116"/>
      <c r="AJ37" s="116"/>
      <c r="AK37" s="116"/>
      <c r="AL37" s="116"/>
      <c r="AM37" s="116"/>
      <c r="AN37" s="116"/>
      <c r="AO37" s="117"/>
    </row>
    <row r="38" spans="1:41" ht="16.5" thickTop="1" thickBot="1">
      <c r="A38" s="151"/>
      <c r="B38" s="160"/>
      <c r="C38" s="161"/>
      <c r="D38" s="161"/>
      <c r="E38" s="161"/>
      <c r="Y38" s="115"/>
      <c r="Z38" s="116"/>
      <c r="AA38" s="116"/>
      <c r="AB38" s="116"/>
      <c r="AC38" s="116"/>
      <c r="AD38" s="116"/>
      <c r="AE38" s="116"/>
      <c r="AF38" s="116"/>
      <c r="AG38" s="116"/>
      <c r="AH38" s="116"/>
      <c r="AI38" s="116"/>
      <c r="AJ38" s="116"/>
      <c r="AK38" s="116"/>
      <c r="AL38" s="116"/>
      <c r="AM38" s="116"/>
      <c r="AN38" s="116"/>
      <c r="AO38" s="117"/>
    </row>
    <row r="39" spans="1:41" ht="16.5" thickTop="1" thickBot="1">
      <c r="A39" s="151"/>
      <c r="B39" s="160"/>
      <c r="C39" s="161"/>
      <c r="D39" s="161"/>
      <c r="E39" s="161"/>
      <c r="Y39" s="115"/>
      <c r="Z39" s="116"/>
      <c r="AA39" s="116"/>
      <c r="AB39" s="116"/>
      <c r="AC39" s="116"/>
      <c r="AD39" s="116"/>
      <c r="AE39" s="116"/>
      <c r="AF39" s="116"/>
      <c r="AG39" s="116"/>
      <c r="AH39" s="116"/>
      <c r="AI39" s="116"/>
      <c r="AJ39" s="116"/>
      <c r="AK39" s="116"/>
      <c r="AL39" s="116"/>
      <c r="AM39" s="116"/>
      <c r="AN39" s="116"/>
      <c r="AO39" s="117"/>
    </row>
    <row r="40" spans="1:41" ht="16.5" thickTop="1" thickBot="1">
      <c r="A40" s="151"/>
      <c r="B40" s="160"/>
      <c r="C40" s="161"/>
      <c r="D40" s="161"/>
      <c r="E40" s="161"/>
      <c r="Y40" s="115"/>
      <c r="Z40" s="116"/>
      <c r="AA40" s="116"/>
      <c r="AB40" s="116"/>
      <c r="AC40" s="116"/>
      <c r="AD40" s="116"/>
      <c r="AE40" s="116"/>
      <c r="AF40" s="116"/>
      <c r="AG40" s="116"/>
      <c r="AH40" s="116"/>
      <c r="AI40" s="116"/>
      <c r="AJ40" s="116"/>
      <c r="AK40" s="116"/>
      <c r="AL40" s="116"/>
      <c r="AM40" s="116"/>
      <c r="AN40" s="116"/>
      <c r="AO40" s="117"/>
    </row>
    <row r="41" spans="1:41" ht="16.5" thickTop="1" thickBot="1">
      <c r="A41" s="151"/>
      <c r="B41" s="160"/>
      <c r="C41" s="161"/>
      <c r="D41" s="161"/>
      <c r="E41" s="161"/>
      <c r="Y41" s="115"/>
      <c r="Z41" s="116"/>
      <c r="AA41" s="116"/>
      <c r="AB41" s="116"/>
      <c r="AC41" s="116"/>
      <c r="AD41" s="116"/>
      <c r="AE41" s="116"/>
      <c r="AF41" s="116"/>
      <c r="AG41" s="116"/>
      <c r="AH41" s="116"/>
      <c r="AI41" s="116"/>
      <c r="AJ41" s="116"/>
      <c r="AK41" s="116"/>
      <c r="AL41" s="116"/>
      <c r="AM41" s="116"/>
      <c r="AN41" s="116"/>
      <c r="AO41" s="117"/>
    </row>
    <row r="42" spans="1:41" ht="16.5" thickTop="1" thickBot="1">
      <c r="A42" s="151"/>
      <c r="B42" s="160"/>
      <c r="C42" s="162"/>
      <c r="D42" s="162"/>
      <c r="E42" s="162"/>
      <c r="Y42" s="115"/>
      <c r="Z42" s="116"/>
      <c r="AA42" s="116"/>
      <c r="AB42" s="116"/>
      <c r="AC42" s="116"/>
      <c r="AD42" s="116"/>
      <c r="AE42" s="116"/>
      <c r="AF42" s="116"/>
      <c r="AG42" s="116"/>
      <c r="AH42" s="116"/>
      <c r="AI42" s="116"/>
      <c r="AJ42" s="116"/>
      <c r="AK42" s="116"/>
      <c r="AL42" s="116"/>
      <c r="AM42" s="116"/>
      <c r="AN42" s="116"/>
      <c r="AO42" s="117"/>
    </row>
    <row r="43" spans="1:41" ht="16.5" thickTop="1" thickBot="1">
      <c r="A43" s="163" t="s">
        <v>219</v>
      </c>
      <c r="B43" s="164"/>
      <c r="C43" s="165"/>
      <c r="D43" s="166"/>
      <c r="E43" s="167">
        <v>15.33</v>
      </c>
      <c r="F43" s="69" t="s">
        <v>642</v>
      </c>
      <c r="Y43" s="115"/>
      <c r="Z43" s="116"/>
      <c r="AA43" s="116"/>
      <c r="AB43" s="116"/>
      <c r="AC43" s="116"/>
      <c r="AD43" s="116"/>
      <c r="AE43" s="116"/>
      <c r="AF43" s="116"/>
      <c r="AG43" s="116"/>
      <c r="AH43" s="116"/>
      <c r="AI43" s="116"/>
      <c r="AJ43" s="116"/>
      <c r="AK43" s="116"/>
      <c r="AL43" s="116"/>
      <c r="AM43" s="116"/>
      <c r="AN43" s="116"/>
      <c r="AO43" s="117"/>
    </row>
    <row r="44" spans="1:41" ht="15.75" thickTop="1">
      <c r="Y44" s="115"/>
      <c r="Z44" s="116"/>
      <c r="AA44" s="349" t="s">
        <v>240</v>
      </c>
      <c r="AB44" s="349"/>
      <c r="AC44" s="349"/>
      <c r="AD44" s="349"/>
      <c r="AE44" s="349"/>
      <c r="AF44" s="349"/>
      <c r="AG44" s="349"/>
      <c r="AH44" s="349"/>
      <c r="AI44" s="349"/>
      <c r="AJ44" s="349"/>
      <c r="AK44" s="349"/>
      <c r="AL44" s="349"/>
      <c r="AM44" s="116"/>
      <c r="AN44" s="116"/>
      <c r="AO44" s="117"/>
    </row>
    <row r="45" spans="1:41" ht="15" customHeight="1">
      <c r="A45" s="168" t="s">
        <v>249</v>
      </c>
      <c r="Y45" s="115"/>
      <c r="Z45" s="116"/>
      <c r="AA45" s="349"/>
      <c r="AB45" s="349"/>
      <c r="AC45" s="349"/>
      <c r="AD45" s="349"/>
      <c r="AE45" s="349"/>
      <c r="AF45" s="349"/>
      <c r="AG45" s="349"/>
      <c r="AH45" s="349"/>
      <c r="AI45" s="349"/>
      <c r="AJ45" s="349"/>
      <c r="AK45" s="349"/>
      <c r="AL45" s="349"/>
      <c r="AM45" s="116"/>
      <c r="AN45" s="116"/>
      <c r="AO45" s="117"/>
    </row>
    <row r="46" spans="1:41" ht="15.75" thickBot="1">
      <c r="A46" s="69" t="s">
        <v>250</v>
      </c>
      <c r="Y46" s="115"/>
      <c r="Z46" s="116"/>
      <c r="AA46" s="349"/>
      <c r="AB46" s="349"/>
      <c r="AC46" s="349"/>
      <c r="AD46" s="349"/>
      <c r="AE46" s="349"/>
      <c r="AF46" s="349"/>
      <c r="AG46" s="349"/>
      <c r="AH46" s="349"/>
      <c r="AI46" s="349"/>
      <c r="AJ46" s="349"/>
      <c r="AK46" s="349"/>
      <c r="AL46" s="349"/>
      <c r="AM46" s="116"/>
      <c r="AN46" s="116"/>
      <c r="AO46" s="117"/>
    </row>
    <row r="47" spans="1:41" ht="16.5" thickTop="1" thickBot="1">
      <c r="A47" s="351" t="s">
        <v>251</v>
      </c>
      <c r="B47" s="352"/>
      <c r="C47" s="169">
        <f>'WasteWater System Savings'!A5</f>
        <v>3.6841444395749776</v>
      </c>
      <c r="D47" s="69" t="s">
        <v>252</v>
      </c>
      <c r="Y47" s="115"/>
      <c r="Z47" s="116"/>
      <c r="AA47" s="349"/>
      <c r="AB47" s="349"/>
      <c r="AC47" s="349"/>
      <c r="AD47" s="349"/>
      <c r="AE47" s="349"/>
      <c r="AF47" s="349"/>
      <c r="AG47" s="349"/>
      <c r="AH47" s="349"/>
      <c r="AI47" s="349"/>
      <c r="AJ47" s="349"/>
      <c r="AK47" s="349"/>
      <c r="AL47" s="349"/>
      <c r="AM47" s="116"/>
      <c r="AN47" s="116"/>
      <c r="AO47" s="117"/>
    </row>
    <row r="48" spans="1:41" ht="15.75" thickTop="1">
      <c r="D48" s="170" t="s">
        <v>253</v>
      </c>
      <c r="Y48" s="115"/>
      <c r="Z48" s="116"/>
      <c r="AA48" s="116"/>
      <c r="AB48" s="116"/>
      <c r="AC48" s="116"/>
      <c r="AD48" s="116"/>
      <c r="AE48" s="116"/>
      <c r="AF48" s="116"/>
      <c r="AG48" s="116"/>
      <c r="AH48" s="116"/>
      <c r="AI48" s="116"/>
      <c r="AJ48" s="116"/>
      <c r="AK48" s="116"/>
      <c r="AL48" s="116"/>
      <c r="AM48" s="116"/>
      <c r="AN48" s="116"/>
      <c r="AO48" s="117"/>
    </row>
    <row r="49" spans="1:41" ht="15.75" thickBot="1">
      <c r="D49" s="170" t="s">
        <v>254</v>
      </c>
      <c r="Y49" s="138"/>
      <c r="Z49" s="149"/>
      <c r="AA49" s="149"/>
      <c r="AB49" s="149"/>
      <c r="AC49" s="149"/>
      <c r="AD49" s="149"/>
      <c r="AE49" s="149"/>
      <c r="AF49" s="149"/>
      <c r="AG49" s="149"/>
      <c r="AH49" s="149"/>
      <c r="AI49" s="149"/>
      <c r="AJ49" s="149"/>
      <c r="AK49" s="149"/>
      <c r="AL49" s="149"/>
      <c r="AM49" s="149"/>
      <c r="AN49" s="149"/>
      <c r="AO49" s="150"/>
    </row>
    <row r="50" spans="1:41" ht="15.75" thickBot="1">
      <c r="D50" s="170" t="s">
        <v>255</v>
      </c>
    </row>
    <row r="51" spans="1:41">
      <c r="D51" s="69" t="s">
        <v>256</v>
      </c>
      <c r="Y51" s="112"/>
      <c r="Z51" s="113"/>
      <c r="AA51" s="113"/>
      <c r="AB51" s="113"/>
      <c r="AC51" s="113"/>
      <c r="AD51" s="113"/>
      <c r="AE51" s="113"/>
      <c r="AF51" s="113"/>
      <c r="AG51" s="113"/>
      <c r="AH51" s="113"/>
      <c r="AI51" s="113"/>
      <c r="AJ51" s="113"/>
      <c r="AK51" s="113"/>
      <c r="AL51" s="113"/>
      <c r="AM51" s="113"/>
      <c r="AN51" s="113"/>
      <c r="AO51" s="114"/>
    </row>
    <row r="52" spans="1:41">
      <c r="Y52" s="115"/>
      <c r="Z52" s="116"/>
      <c r="AA52" s="116"/>
      <c r="AB52" s="116"/>
      <c r="AC52" s="116"/>
      <c r="AD52" s="116"/>
      <c r="AE52" s="116"/>
      <c r="AF52" s="116"/>
      <c r="AG52" s="116"/>
      <c r="AH52" s="116"/>
      <c r="AI52" s="116"/>
      <c r="AJ52" s="116"/>
      <c r="AK52" s="116"/>
      <c r="AL52" s="116"/>
      <c r="AM52" s="116"/>
      <c r="AN52" s="116"/>
      <c r="AO52" s="117"/>
    </row>
    <row r="53" spans="1:41">
      <c r="A53" s="152" t="s">
        <v>208</v>
      </c>
      <c r="B53" s="153"/>
      <c r="C53" s="153"/>
      <c r="D53" s="153"/>
      <c r="E53" s="153"/>
      <c r="F53" s="119"/>
      <c r="G53" s="120" t="s">
        <v>211</v>
      </c>
      <c r="H53" s="119"/>
      <c r="I53" s="153"/>
      <c r="J53" s="153"/>
      <c r="K53" s="153"/>
      <c r="Y53" s="115"/>
      <c r="Z53" s="116"/>
      <c r="AA53" s="116"/>
      <c r="AB53" s="116"/>
      <c r="AC53" s="116"/>
      <c r="AD53" s="116"/>
      <c r="AE53" s="116"/>
      <c r="AF53" s="116"/>
      <c r="AG53" s="116"/>
      <c r="AH53" s="116"/>
      <c r="AI53" s="116"/>
      <c r="AJ53" s="116"/>
      <c r="AK53" s="116"/>
      <c r="AL53" s="116"/>
      <c r="AM53" s="116"/>
      <c r="AN53" s="116"/>
      <c r="AO53" s="117"/>
    </row>
    <row r="54" spans="1:41" ht="15.75" thickBot="1">
      <c r="Y54" s="115"/>
      <c r="Z54" s="116"/>
      <c r="AA54" s="116"/>
      <c r="AB54" s="116"/>
      <c r="AC54" s="116"/>
      <c r="AD54" s="116"/>
      <c r="AE54" s="116"/>
      <c r="AF54" s="116"/>
      <c r="AG54" s="116"/>
      <c r="AH54" s="116"/>
      <c r="AI54" s="116"/>
      <c r="AJ54" s="116"/>
      <c r="AK54" s="116"/>
      <c r="AL54" s="116"/>
      <c r="AM54" s="116"/>
      <c r="AN54" s="116"/>
      <c r="AO54" s="117"/>
    </row>
    <row r="55" spans="1:41" ht="16.5" thickTop="1" thickBot="1">
      <c r="A55" s="347" t="s">
        <v>257</v>
      </c>
      <c r="B55" s="348"/>
      <c r="C55" s="171">
        <f>24*J55</f>
        <v>25.872</v>
      </c>
      <c r="D55" s="69" t="s">
        <v>350</v>
      </c>
      <c r="J55" s="69">
        <v>1.0780000000000001</v>
      </c>
      <c r="Y55" s="115"/>
      <c r="Z55" s="116"/>
      <c r="AA55" s="116"/>
      <c r="AB55" s="116"/>
      <c r="AC55" s="116"/>
      <c r="AD55" s="116"/>
      <c r="AE55" s="116"/>
      <c r="AF55" s="116"/>
      <c r="AG55" s="116"/>
      <c r="AH55" s="116"/>
      <c r="AI55" s="116"/>
      <c r="AJ55" s="116"/>
      <c r="AK55" s="116"/>
      <c r="AL55" s="116"/>
      <c r="AM55" s="116"/>
      <c r="AN55" s="116"/>
      <c r="AO55" s="117"/>
    </row>
    <row r="56" spans="1:41" ht="16.5" thickTop="1" thickBot="1">
      <c r="A56" s="347" t="s">
        <v>258</v>
      </c>
      <c r="B56" s="348"/>
      <c r="C56" s="171">
        <f>C58+(1/3)*20</f>
        <v>6.6666666666666661</v>
      </c>
      <c r="D56" s="69" t="s">
        <v>259</v>
      </c>
      <c r="Y56" s="115"/>
      <c r="Z56" s="116"/>
      <c r="AA56" s="116"/>
      <c r="AB56" s="116"/>
      <c r="AC56" s="116"/>
      <c r="AD56" s="116"/>
      <c r="AE56" s="116"/>
      <c r="AF56" s="116"/>
      <c r="AG56" s="116"/>
      <c r="AH56" s="116"/>
      <c r="AI56" s="116"/>
      <c r="AJ56" s="116"/>
      <c r="AK56" s="116"/>
      <c r="AL56" s="116"/>
      <c r="AM56" s="116"/>
      <c r="AN56" s="116"/>
      <c r="AO56" s="117"/>
    </row>
    <row r="57" spans="1:41" ht="16.5" thickTop="1" thickBot="1">
      <c r="A57" s="347" t="s">
        <v>260</v>
      </c>
      <c r="B57" s="348"/>
      <c r="C57" s="171">
        <v>17.329999999999998</v>
      </c>
      <c r="D57" s="69" t="s">
        <v>261</v>
      </c>
      <c r="Y57" s="115"/>
      <c r="Z57" s="116"/>
      <c r="AA57" s="116"/>
      <c r="AB57" s="116"/>
      <c r="AC57" s="116"/>
      <c r="AD57" s="116"/>
      <c r="AE57" s="116"/>
      <c r="AF57" s="116"/>
      <c r="AG57" s="116"/>
      <c r="AH57" s="116"/>
      <c r="AI57" s="116"/>
      <c r="AJ57" s="116"/>
      <c r="AK57" s="116"/>
      <c r="AL57" s="116"/>
      <c r="AM57" s="116"/>
      <c r="AN57" s="116"/>
      <c r="AO57" s="117"/>
    </row>
    <row r="58" spans="1:41" ht="16.5" thickTop="1" thickBot="1">
      <c r="A58" s="347"/>
      <c r="B58" s="348"/>
      <c r="C58" s="171"/>
      <c r="Y58" s="115"/>
      <c r="Z58" s="116"/>
      <c r="AA58" s="116"/>
      <c r="AB58" s="116"/>
      <c r="AC58" s="116"/>
      <c r="AD58" s="116"/>
      <c r="AE58" s="116"/>
      <c r="AF58" s="116"/>
      <c r="AG58" s="116"/>
      <c r="AH58" s="116"/>
      <c r="AI58" s="116"/>
      <c r="AJ58" s="116"/>
      <c r="AK58" s="116"/>
      <c r="AL58" s="116"/>
      <c r="AM58" s="116"/>
      <c r="AN58" s="116"/>
      <c r="AO58" s="117"/>
    </row>
    <row r="59" spans="1:41" ht="16.5" thickTop="1" thickBot="1">
      <c r="A59" s="316"/>
      <c r="B59" s="317"/>
      <c r="C59" s="171"/>
      <c r="Y59" s="115"/>
      <c r="Z59" s="116"/>
      <c r="AA59" s="116"/>
      <c r="AB59" s="116"/>
      <c r="AC59" s="116"/>
      <c r="AD59" s="116"/>
      <c r="AE59" s="116"/>
      <c r="AF59" s="116"/>
      <c r="AG59" s="116"/>
      <c r="AH59" s="116"/>
      <c r="AI59" s="116"/>
      <c r="AJ59" s="116"/>
      <c r="AK59" s="116"/>
      <c r="AL59" s="116"/>
      <c r="AM59" s="116"/>
      <c r="AN59" s="116"/>
      <c r="AO59" s="117"/>
    </row>
    <row r="60" spans="1:41" ht="15.75" thickTop="1">
      <c r="D60" s="69" t="s">
        <v>262</v>
      </c>
      <c r="Y60" s="115"/>
      <c r="Z60" s="116"/>
      <c r="AA60" s="116"/>
      <c r="AB60" s="116"/>
      <c r="AC60" s="116"/>
      <c r="AD60" s="116"/>
      <c r="AE60" s="116"/>
      <c r="AF60" s="116"/>
      <c r="AG60" s="116"/>
      <c r="AH60" s="116"/>
      <c r="AI60" s="116"/>
      <c r="AJ60" s="116"/>
      <c r="AK60" s="116"/>
      <c r="AL60" s="116"/>
      <c r="AM60" s="116"/>
      <c r="AN60" s="116"/>
      <c r="AO60" s="117"/>
    </row>
    <row r="61" spans="1:41">
      <c r="Y61" s="115"/>
      <c r="Z61" s="116"/>
      <c r="AA61" s="116"/>
      <c r="AB61" s="116"/>
      <c r="AC61" s="116"/>
      <c r="AD61" s="116"/>
      <c r="AE61" s="116"/>
      <c r="AF61" s="116"/>
      <c r="AG61" s="116"/>
      <c r="AH61" s="116"/>
      <c r="AI61" s="116"/>
      <c r="AJ61" s="116"/>
      <c r="AK61" s="116"/>
      <c r="AL61" s="116"/>
      <c r="AM61" s="116"/>
      <c r="AN61" s="116"/>
      <c r="AO61" s="117"/>
    </row>
    <row r="62" spans="1:41">
      <c r="A62" s="152" t="s">
        <v>209</v>
      </c>
      <c r="B62" s="153"/>
      <c r="C62" s="153"/>
      <c r="D62" s="153"/>
      <c r="E62" s="153"/>
      <c r="F62" s="119"/>
      <c r="G62" s="120" t="s">
        <v>211</v>
      </c>
      <c r="H62" s="119"/>
      <c r="I62" s="153"/>
      <c r="J62" s="153"/>
      <c r="K62" s="153"/>
      <c r="Y62" s="115"/>
      <c r="Z62" s="116"/>
      <c r="AA62" s="116"/>
      <c r="AB62" s="116"/>
      <c r="AC62" s="116"/>
      <c r="AD62" s="116"/>
      <c r="AE62" s="116"/>
      <c r="AF62" s="116"/>
      <c r="AG62" s="116"/>
      <c r="AH62" s="116"/>
      <c r="AI62" s="116"/>
      <c r="AJ62" s="116"/>
      <c r="AK62" s="116"/>
      <c r="AL62" s="116"/>
      <c r="AM62" s="116"/>
      <c r="AN62" s="116"/>
      <c r="AO62" s="117"/>
    </row>
    <row r="63" spans="1:41">
      <c r="Y63" s="115"/>
      <c r="Z63" s="116"/>
      <c r="AA63" s="116"/>
      <c r="AB63" s="116"/>
      <c r="AC63" s="116"/>
      <c r="AD63" s="116"/>
      <c r="AE63" s="116"/>
      <c r="AF63" s="116"/>
      <c r="AG63" s="116"/>
      <c r="AH63" s="116"/>
      <c r="AI63" s="116"/>
      <c r="AJ63" s="116"/>
      <c r="AK63" s="116"/>
      <c r="AL63" s="116"/>
      <c r="AM63" s="116"/>
      <c r="AN63" s="116"/>
      <c r="AO63" s="117"/>
    </row>
    <row r="64" spans="1:41" ht="15.75" thickBot="1">
      <c r="Y64" s="115"/>
      <c r="Z64" s="116"/>
      <c r="AA64" s="116"/>
      <c r="AB64" s="116"/>
      <c r="AC64" s="116"/>
      <c r="AD64" s="116"/>
      <c r="AE64" s="116"/>
      <c r="AF64" s="116"/>
      <c r="AG64" s="116"/>
      <c r="AH64" s="116"/>
      <c r="AI64" s="116"/>
      <c r="AJ64" s="116"/>
      <c r="AK64" s="116"/>
      <c r="AL64" s="116"/>
      <c r="AM64" s="116"/>
      <c r="AN64" s="116"/>
      <c r="AO64" s="117"/>
    </row>
    <row r="65" spans="1:41" ht="31.5" thickTop="1" thickBot="1">
      <c r="A65" s="350"/>
      <c r="B65" s="350"/>
      <c r="C65" s="350"/>
      <c r="D65" s="68" t="s">
        <v>160</v>
      </c>
      <c r="E65" s="68" t="s">
        <v>161</v>
      </c>
      <c r="F65" s="68" t="s">
        <v>162</v>
      </c>
      <c r="Y65" s="115"/>
      <c r="Z65" s="116"/>
      <c r="AA65" s="116"/>
      <c r="AB65" s="116"/>
      <c r="AC65" s="116"/>
      <c r="AD65" s="116"/>
      <c r="AE65" s="116"/>
      <c r="AF65" s="116"/>
      <c r="AG65" s="116"/>
      <c r="AH65" s="116"/>
      <c r="AI65" s="116"/>
      <c r="AJ65" s="116"/>
      <c r="AK65" s="116"/>
      <c r="AL65" s="116"/>
      <c r="AM65" s="116"/>
      <c r="AN65" s="116"/>
      <c r="AO65" s="117"/>
    </row>
    <row r="66" spans="1:41" ht="16.5" thickTop="1" thickBot="1">
      <c r="A66" s="70" t="s">
        <v>163</v>
      </c>
      <c r="B66" s="71"/>
      <c r="C66" s="72"/>
      <c r="D66" s="73">
        <v>0.8</v>
      </c>
      <c r="E66" s="73">
        <v>0.75</v>
      </c>
      <c r="F66" s="73">
        <v>0.7</v>
      </c>
      <c r="H66" s="69" t="s">
        <v>164</v>
      </c>
      <c r="Y66" s="115"/>
      <c r="Z66" s="116"/>
      <c r="AA66" s="116"/>
      <c r="AB66" s="116"/>
      <c r="AC66" s="116"/>
      <c r="AD66" s="116"/>
      <c r="AE66" s="116"/>
      <c r="AF66" s="116"/>
      <c r="AG66" s="116"/>
      <c r="AH66" s="116"/>
      <c r="AI66" s="116"/>
      <c r="AJ66" s="116"/>
      <c r="AK66" s="116"/>
      <c r="AL66" s="116"/>
      <c r="AM66" s="116"/>
      <c r="AN66" s="116"/>
      <c r="AO66" s="117"/>
    </row>
    <row r="67" spans="1:41" ht="16.5" thickTop="1" thickBot="1">
      <c r="A67" s="70" t="s">
        <v>165</v>
      </c>
      <c r="B67" s="71"/>
      <c r="C67" s="72"/>
      <c r="D67" s="73">
        <v>0.76</v>
      </c>
      <c r="E67" s="73">
        <v>0.76</v>
      </c>
      <c r="F67" s="73">
        <v>0.76</v>
      </c>
      <c r="H67" s="69" t="s">
        <v>166</v>
      </c>
      <c r="Y67" s="115"/>
      <c r="Z67" s="116"/>
      <c r="AA67" s="116"/>
      <c r="AB67" s="116"/>
      <c r="AC67" s="116"/>
      <c r="AD67" s="116"/>
      <c r="AE67" s="116"/>
      <c r="AF67" s="116"/>
      <c r="AG67" s="116"/>
      <c r="AH67" s="116"/>
      <c r="AI67" s="116"/>
      <c r="AJ67" s="116"/>
      <c r="AK67" s="116"/>
      <c r="AL67" s="116"/>
      <c r="AM67" s="116"/>
      <c r="AN67" s="116"/>
      <c r="AO67" s="117"/>
    </row>
    <row r="68" spans="1:41" ht="16.5" thickTop="1" thickBot="1">
      <c r="A68" s="70" t="s">
        <v>167</v>
      </c>
      <c r="B68" s="71"/>
      <c r="C68" s="72"/>
      <c r="D68" s="73">
        <v>0.9</v>
      </c>
      <c r="E68" s="73">
        <v>0.9</v>
      </c>
      <c r="F68" s="73">
        <v>0.9</v>
      </c>
      <c r="H68" s="69" t="s">
        <v>168</v>
      </c>
      <c r="I68" s="74"/>
      <c r="J68" s="74"/>
      <c r="K68" s="74"/>
      <c r="L68" s="74"/>
      <c r="M68" s="74"/>
      <c r="N68" s="74"/>
      <c r="O68" s="74"/>
      <c r="P68" s="74"/>
      <c r="Q68" s="74"/>
      <c r="R68" s="74"/>
      <c r="S68" s="74"/>
      <c r="T68" s="74"/>
      <c r="Y68" s="115"/>
      <c r="Z68" s="116"/>
      <c r="AA68" s="116"/>
      <c r="AB68" s="116"/>
      <c r="AC68" s="116"/>
      <c r="AD68" s="116"/>
      <c r="AE68" s="116"/>
      <c r="AF68" s="116"/>
      <c r="AG68" s="116"/>
      <c r="AH68" s="116"/>
      <c r="AI68" s="116"/>
      <c r="AJ68" s="116"/>
      <c r="AK68" s="116"/>
      <c r="AL68" s="116"/>
      <c r="AM68" s="116"/>
      <c r="AN68" s="116"/>
      <c r="AO68" s="117"/>
    </row>
    <row r="69" spans="1:41" ht="16.5" thickTop="1" thickBot="1">
      <c r="A69" s="70"/>
      <c r="B69" s="71"/>
      <c r="C69" s="72"/>
      <c r="D69" s="73"/>
      <c r="E69" s="73"/>
      <c r="F69" s="73"/>
      <c r="H69" s="74"/>
      <c r="I69" s="74"/>
      <c r="J69" s="74"/>
      <c r="K69" s="74"/>
      <c r="L69" s="74"/>
      <c r="M69" s="74"/>
      <c r="N69" s="74"/>
      <c r="O69" s="74"/>
      <c r="P69" s="74"/>
      <c r="Q69" s="74"/>
      <c r="R69" s="74"/>
      <c r="S69" s="74"/>
      <c r="T69" s="74"/>
      <c r="Y69" s="115"/>
      <c r="Z69" s="116"/>
      <c r="AA69" s="116"/>
      <c r="AB69" s="116"/>
      <c r="AC69" s="116"/>
      <c r="AD69" s="116"/>
      <c r="AE69" s="116"/>
      <c r="AF69" s="116"/>
      <c r="AG69" s="116"/>
      <c r="AH69" s="116"/>
      <c r="AI69" s="116"/>
      <c r="AJ69" s="116"/>
      <c r="AK69" s="116"/>
      <c r="AL69" s="116"/>
      <c r="AM69" s="116"/>
      <c r="AN69" s="116"/>
      <c r="AO69" s="117"/>
    </row>
    <row r="70" spans="1:41" ht="16.5" thickTop="1" thickBot="1">
      <c r="A70" s="70"/>
      <c r="B70" s="71"/>
      <c r="C70" s="72"/>
      <c r="D70" s="73"/>
      <c r="E70" s="73"/>
      <c r="F70" s="73"/>
      <c r="Y70" s="115"/>
      <c r="Z70" s="116"/>
      <c r="AA70" s="116"/>
      <c r="AB70" s="116"/>
      <c r="AC70" s="116"/>
      <c r="AD70" s="116"/>
      <c r="AE70" s="116"/>
      <c r="AF70" s="116"/>
      <c r="AG70" s="116"/>
      <c r="AH70" s="116"/>
      <c r="AI70" s="116"/>
      <c r="AJ70" s="116"/>
      <c r="AK70" s="116"/>
      <c r="AL70" s="116"/>
      <c r="AM70" s="116"/>
      <c r="AN70" s="116"/>
      <c r="AO70" s="117"/>
    </row>
    <row r="71" spans="1:41" ht="16.5" thickTop="1" thickBot="1">
      <c r="A71" s="70"/>
      <c r="B71" s="71"/>
      <c r="C71" s="72"/>
      <c r="D71" s="73"/>
      <c r="E71" s="73"/>
      <c r="F71" s="73"/>
      <c r="Y71" s="115"/>
      <c r="Z71" s="116"/>
      <c r="AA71" s="116"/>
      <c r="AB71" s="116"/>
      <c r="AC71" s="116"/>
      <c r="AD71" s="116"/>
      <c r="AE71" s="116"/>
      <c r="AF71" s="116"/>
      <c r="AG71" s="116"/>
      <c r="AH71" s="116"/>
      <c r="AI71" s="116"/>
      <c r="AJ71" s="116"/>
      <c r="AK71" s="116"/>
      <c r="AL71" s="116"/>
      <c r="AM71" s="116"/>
      <c r="AN71" s="116"/>
      <c r="AO71" s="117"/>
    </row>
    <row r="72" spans="1:41" ht="15.75" thickTop="1">
      <c r="Y72" s="115"/>
      <c r="Z72" s="116"/>
      <c r="AA72" s="116"/>
      <c r="AB72" s="116"/>
      <c r="AC72" s="116"/>
      <c r="AD72" s="116"/>
      <c r="AE72" s="116"/>
      <c r="AF72" s="116"/>
      <c r="AG72" s="116"/>
      <c r="AH72" s="116"/>
      <c r="AI72" s="116"/>
      <c r="AJ72" s="116"/>
      <c r="AK72" s="116"/>
      <c r="AL72" s="116"/>
      <c r="AM72" s="116"/>
      <c r="AN72" s="116"/>
      <c r="AO72" s="117"/>
    </row>
    <row r="73" spans="1:41">
      <c r="Y73" s="115"/>
      <c r="Z73" s="116"/>
      <c r="AA73" s="116"/>
      <c r="AB73" s="116"/>
      <c r="AC73" s="116"/>
      <c r="AD73" s="116"/>
      <c r="AE73" s="116"/>
      <c r="AF73" s="116"/>
      <c r="AG73" s="116"/>
      <c r="AH73" s="116"/>
      <c r="AI73" s="116"/>
      <c r="AJ73" s="116"/>
      <c r="AK73" s="116"/>
      <c r="AL73" s="116"/>
      <c r="AM73" s="116"/>
      <c r="AN73" s="116"/>
      <c r="AO73" s="117"/>
    </row>
    <row r="74" spans="1:41">
      <c r="Y74" s="115"/>
      <c r="Z74" s="116"/>
      <c r="AA74" s="116"/>
      <c r="AB74" s="116"/>
      <c r="AC74" s="116"/>
      <c r="AD74" s="116"/>
      <c r="AE74" s="116"/>
      <c r="AF74" s="116"/>
      <c r="AG74" s="116"/>
      <c r="AH74" s="116"/>
      <c r="AI74" s="116"/>
      <c r="AJ74" s="116"/>
      <c r="AK74" s="116"/>
      <c r="AL74" s="116"/>
      <c r="AM74" s="116"/>
      <c r="AN74" s="116"/>
      <c r="AO74" s="117"/>
    </row>
    <row r="75" spans="1:41">
      <c r="Y75" s="115"/>
      <c r="Z75" s="116"/>
      <c r="AA75" s="116"/>
      <c r="AB75" s="116"/>
      <c r="AC75" s="116"/>
      <c r="AD75" s="116"/>
      <c r="AE75" s="116"/>
      <c r="AF75" s="116"/>
      <c r="AG75" s="116"/>
      <c r="AH75" s="116"/>
      <c r="AI75" s="116"/>
      <c r="AJ75" s="116"/>
      <c r="AK75" s="116"/>
      <c r="AL75" s="116"/>
      <c r="AM75" s="116"/>
      <c r="AN75" s="116"/>
      <c r="AO75" s="117"/>
    </row>
    <row r="76" spans="1:41">
      <c r="Y76" s="115"/>
      <c r="Z76" s="116"/>
      <c r="AA76" s="116"/>
      <c r="AB76" s="116"/>
      <c r="AC76" s="116"/>
      <c r="AD76" s="116"/>
      <c r="AE76" s="116"/>
      <c r="AF76" s="116"/>
      <c r="AG76" s="116"/>
      <c r="AH76" s="116"/>
      <c r="AI76" s="116"/>
      <c r="AJ76" s="116"/>
      <c r="AK76" s="116"/>
      <c r="AL76" s="116"/>
      <c r="AM76" s="116"/>
      <c r="AN76" s="116"/>
      <c r="AO76" s="117"/>
    </row>
    <row r="77" spans="1:41">
      <c r="Y77" s="115"/>
      <c r="Z77" s="116"/>
      <c r="AA77" s="116"/>
      <c r="AB77" s="116"/>
      <c r="AC77" s="116"/>
      <c r="AD77" s="116"/>
      <c r="AE77" s="116"/>
      <c r="AF77" s="116"/>
      <c r="AG77" s="116"/>
      <c r="AH77" s="116"/>
      <c r="AI77" s="116"/>
      <c r="AJ77" s="116"/>
      <c r="AK77" s="116"/>
      <c r="AL77" s="116"/>
      <c r="AM77" s="116"/>
      <c r="AN77" s="116"/>
      <c r="AO77" s="117"/>
    </row>
    <row r="78" spans="1:41" ht="16.5" customHeight="1">
      <c r="Y78" s="115"/>
      <c r="Z78" s="116"/>
      <c r="AA78" s="116"/>
      <c r="AB78" s="116"/>
      <c r="AC78" s="116"/>
      <c r="AD78" s="116"/>
      <c r="AE78" s="116"/>
      <c r="AF78" s="116"/>
      <c r="AG78" s="116"/>
      <c r="AH78" s="116"/>
      <c r="AI78" s="116"/>
      <c r="AJ78" s="116"/>
      <c r="AK78" s="116"/>
      <c r="AL78" s="116"/>
      <c r="AM78" s="116"/>
      <c r="AN78" s="116"/>
      <c r="AO78" s="117"/>
    </row>
    <row r="79" spans="1:41">
      <c r="Y79" s="115"/>
      <c r="Z79" s="116"/>
      <c r="AA79" s="116"/>
      <c r="AB79" s="116"/>
      <c r="AC79" s="116"/>
      <c r="AD79" s="116"/>
      <c r="AE79" s="116"/>
      <c r="AF79" s="116"/>
      <c r="AG79" s="116"/>
      <c r="AH79" s="116"/>
      <c r="AI79" s="116"/>
      <c r="AJ79" s="116"/>
      <c r="AK79" s="116"/>
      <c r="AL79" s="116"/>
      <c r="AM79" s="116"/>
      <c r="AN79" s="116"/>
      <c r="AO79" s="117"/>
    </row>
    <row r="80" spans="1:41" ht="31.5" customHeight="1">
      <c r="Y80" s="115"/>
      <c r="Z80" s="116"/>
      <c r="AA80" s="116"/>
      <c r="AB80" s="116"/>
      <c r="AC80" s="116"/>
      <c r="AD80" s="116"/>
      <c r="AE80" s="116"/>
      <c r="AF80" s="116"/>
      <c r="AG80" s="116"/>
      <c r="AH80" s="116"/>
      <c r="AI80" s="116"/>
      <c r="AJ80" s="116"/>
      <c r="AK80" s="116"/>
      <c r="AL80" s="116"/>
      <c r="AM80" s="116"/>
      <c r="AN80" s="116"/>
      <c r="AO80" s="117"/>
    </row>
    <row r="81" spans="1:41" ht="30" customHeight="1">
      <c r="Y81" s="115"/>
      <c r="Z81" s="116"/>
      <c r="AA81" s="116"/>
      <c r="AB81" s="116"/>
      <c r="AC81" s="116"/>
      <c r="AD81" s="116"/>
      <c r="AE81" s="116"/>
      <c r="AF81" s="116"/>
      <c r="AG81" s="116"/>
      <c r="AH81" s="116"/>
      <c r="AI81" s="116"/>
      <c r="AJ81" s="116"/>
      <c r="AK81" s="116"/>
      <c r="AL81" s="116"/>
      <c r="AM81" s="116"/>
      <c r="AN81" s="116"/>
      <c r="AO81" s="117"/>
    </row>
    <row r="82" spans="1:41">
      <c r="Y82" s="115"/>
      <c r="Z82" s="116"/>
      <c r="AA82" s="116"/>
      <c r="AB82" s="116"/>
      <c r="AC82" s="116"/>
      <c r="AD82" s="116"/>
      <c r="AE82" s="116"/>
      <c r="AF82" s="116"/>
      <c r="AG82" s="116"/>
      <c r="AH82" s="116"/>
      <c r="AI82" s="116"/>
      <c r="AJ82" s="116"/>
      <c r="AK82" s="116"/>
      <c r="AL82" s="116"/>
      <c r="AM82" s="116"/>
      <c r="AN82" s="116"/>
      <c r="AO82" s="117"/>
    </row>
    <row r="83" spans="1:41" ht="13.5" customHeight="1">
      <c r="Y83" s="115"/>
      <c r="Z83" s="116"/>
      <c r="AA83" s="116"/>
      <c r="AB83" s="116"/>
      <c r="AC83" s="116"/>
      <c r="AD83" s="116"/>
      <c r="AE83" s="116"/>
      <c r="AF83" s="116"/>
      <c r="AG83" s="116"/>
      <c r="AH83" s="116"/>
      <c r="AI83" s="116"/>
      <c r="AJ83" s="116"/>
      <c r="AK83" s="116"/>
      <c r="AL83" s="116"/>
      <c r="AM83" s="116"/>
      <c r="AN83" s="116"/>
      <c r="AO83" s="117"/>
    </row>
    <row r="84" spans="1:41">
      <c r="Y84" s="115"/>
      <c r="Z84" s="116"/>
      <c r="AA84" s="116"/>
      <c r="AB84" s="116"/>
      <c r="AC84" s="116"/>
      <c r="AD84" s="116"/>
      <c r="AE84" s="116"/>
      <c r="AF84" s="116"/>
      <c r="AG84" s="116"/>
      <c r="AH84" s="116"/>
      <c r="AI84" s="116"/>
      <c r="AJ84" s="116"/>
      <c r="AK84" s="116"/>
      <c r="AL84" s="116"/>
      <c r="AM84" s="116"/>
      <c r="AN84" s="116"/>
      <c r="AO84" s="117"/>
    </row>
    <row r="85" spans="1:41">
      <c r="Y85" s="115"/>
      <c r="Z85" s="116"/>
      <c r="AA85" s="116"/>
      <c r="AB85" s="116"/>
      <c r="AC85" s="116"/>
      <c r="AD85" s="116"/>
      <c r="AE85" s="116"/>
      <c r="AF85" s="116"/>
      <c r="AG85" s="116"/>
      <c r="AH85" s="116"/>
      <c r="AI85" s="116"/>
      <c r="AJ85" s="116"/>
      <c r="AK85" s="116"/>
      <c r="AL85" s="116"/>
      <c r="AM85" s="116"/>
      <c r="AN85" s="116"/>
      <c r="AO85" s="117"/>
    </row>
    <row r="86" spans="1:41">
      <c r="Y86" s="115"/>
      <c r="Z86" s="116"/>
      <c r="AA86" s="116"/>
      <c r="AB86" s="116"/>
      <c r="AC86" s="116"/>
      <c r="AD86" s="116"/>
      <c r="AE86" s="116"/>
      <c r="AF86" s="116"/>
      <c r="AG86" s="116"/>
      <c r="AH86" s="116"/>
      <c r="AI86" s="116"/>
      <c r="AJ86" s="116"/>
      <c r="AK86" s="116"/>
      <c r="AL86" s="116"/>
      <c r="AM86" s="116"/>
      <c r="AN86" s="116"/>
      <c r="AO86" s="117"/>
    </row>
    <row r="87" spans="1:41">
      <c r="Y87" s="115"/>
      <c r="Z87" s="116"/>
      <c r="AA87" s="116"/>
      <c r="AB87" s="116"/>
      <c r="AC87" s="116"/>
      <c r="AD87" s="116"/>
      <c r="AE87" s="116"/>
      <c r="AF87" s="116"/>
      <c r="AG87" s="116"/>
      <c r="AH87" s="116"/>
      <c r="AI87" s="116"/>
      <c r="AJ87" s="116"/>
      <c r="AK87" s="116"/>
      <c r="AL87" s="116"/>
      <c r="AM87" s="116"/>
      <c r="AN87" s="116"/>
      <c r="AO87" s="117"/>
    </row>
    <row r="88" spans="1:41">
      <c r="Y88" s="115"/>
      <c r="Z88" s="116"/>
      <c r="AA88" s="116"/>
      <c r="AB88" s="116"/>
      <c r="AC88" s="116"/>
      <c r="AD88" s="116"/>
      <c r="AE88" s="116"/>
      <c r="AF88" s="116"/>
      <c r="AG88" s="116"/>
      <c r="AH88" s="116"/>
      <c r="AI88" s="116"/>
      <c r="AJ88" s="116"/>
      <c r="AK88" s="116"/>
      <c r="AL88" s="116"/>
      <c r="AM88" s="116"/>
      <c r="AN88" s="116"/>
      <c r="AO88" s="117"/>
    </row>
    <row r="89" spans="1:41">
      <c r="Y89" s="115"/>
      <c r="Z89" s="116"/>
      <c r="AA89" s="116"/>
      <c r="AB89" s="116"/>
      <c r="AC89" s="116"/>
      <c r="AD89" s="116"/>
      <c r="AE89" s="116"/>
      <c r="AF89" s="116"/>
      <c r="AG89" s="116"/>
      <c r="AH89" s="116"/>
      <c r="AI89" s="116"/>
      <c r="AJ89" s="116"/>
      <c r="AK89" s="116"/>
      <c r="AL89" s="116"/>
      <c r="AM89" s="116"/>
      <c r="AN89" s="116"/>
      <c r="AO89" s="117"/>
    </row>
    <row r="90" spans="1:41">
      <c r="Y90" s="115"/>
      <c r="Z90" s="116"/>
      <c r="AA90" s="116"/>
      <c r="AB90" s="116"/>
      <c r="AC90" s="116"/>
      <c r="AD90" s="116"/>
      <c r="AE90" s="116"/>
      <c r="AF90" s="116"/>
      <c r="AG90" s="116"/>
      <c r="AH90" s="116"/>
      <c r="AI90" s="116"/>
      <c r="AJ90" s="116"/>
      <c r="AK90" s="116"/>
      <c r="AL90" s="116"/>
      <c r="AM90" s="116"/>
      <c r="AN90" s="116"/>
      <c r="AO90" s="117"/>
    </row>
    <row r="91" spans="1:41">
      <c r="Y91" s="115"/>
      <c r="Z91" s="116"/>
      <c r="AA91" s="116"/>
      <c r="AB91" s="116"/>
      <c r="AC91" s="116"/>
      <c r="AD91" s="116"/>
      <c r="AE91" s="116"/>
      <c r="AF91" s="116"/>
      <c r="AG91" s="116"/>
      <c r="AH91" s="116"/>
      <c r="AI91" s="116"/>
      <c r="AJ91" s="116"/>
      <c r="AK91" s="116"/>
      <c r="AL91" s="116"/>
      <c r="AM91" s="116"/>
      <c r="AN91" s="116"/>
      <c r="AO91" s="117"/>
    </row>
    <row r="92" spans="1:41">
      <c r="Y92" s="115"/>
      <c r="Z92" s="116"/>
      <c r="AA92" s="116"/>
      <c r="AB92" s="116"/>
      <c r="AC92" s="116"/>
      <c r="AD92" s="116"/>
      <c r="AE92" s="116"/>
      <c r="AF92" s="116"/>
      <c r="AG92" s="116"/>
      <c r="AH92" s="116"/>
      <c r="AI92" s="116"/>
      <c r="AJ92" s="116"/>
      <c r="AK92" s="116"/>
      <c r="AL92" s="116"/>
      <c r="AM92" s="116"/>
      <c r="AN92" s="116"/>
      <c r="AO92" s="117"/>
    </row>
    <row r="93" spans="1:41">
      <c r="Y93" s="115"/>
      <c r="Z93" s="116"/>
      <c r="AA93" s="116"/>
      <c r="AB93" s="116"/>
      <c r="AC93" s="116"/>
      <c r="AD93" s="116"/>
      <c r="AE93" s="116"/>
      <c r="AF93" s="116"/>
      <c r="AG93" s="116"/>
      <c r="AH93" s="116"/>
      <c r="AI93" s="116"/>
      <c r="AJ93" s="116"/>
      <c r="AK93" s="116"/>
      <c r="AL93" s="116"/>
      <c r="AM93" s="116"/>
      <c r="AN93" s="116"/>
      <c r="AO93" s="117"/>
    </row>
    <row r="94" spans="1:41">
      <c r="Y94" s="115"/>
      <c r="Z94" s="116"/>
      <c r="AA94" s="116"/>
      <c r="AB94" s="116"/>
      <c r="AC94" s="116"/>
      <c r="AD94" s="116"/>
      <c r="AE94" s="116"/>
      <c r="AF94" s="116"/>
      <c r="AG94" s="116"/>
      <c r="AH94" s="116"/>
      <c r="AI94" s="116"/>
      <c r="AJ94" s="116"/>
      <c r="AK94" s="116"/>
      <c r="AL94" s="116"/>
      <c r="AM94" s="116"/>
      <c r="AN94" s="116"/>
      <c r="AO94" s="117"/>
    </row>
    <row r="95" spans="1:41" s="155" customFormat="1">
      <c r="A95" s="69"/>
      <c r="B95" s="69"/>
      <c r="C95" s="69"/>
      <c r="D95" s="69"/>
      <c r="E95" s="69"/>
      <c r="F95" s="69"/>
      <c r="G95" s="69"/>
      <c r="H95" s="69"/>
      <c r="I95" s="69"/>
      <c r="J95" s="69"/>
      <c r="K95" s="69"/>
      <c r="L95" s="69"/>
      <c r="M95" s="69"/>
      <c r="N95" s="69"/>
      <c r="O95" s="69"/>
      <c r="P95" s="69"/>
      <c r="Q95" s="69"/>
      <c r="R95" s="69"/>
      <c r="S95" s="69"/>
      <c r="T95" s="69"/>
      <c r="Y95" s="157"/>
      <c r="Z95" s="158"/>
      <c r="AA95" s="158"/>
      <c r="AB95" s="158"/>
      <c r="AC95" s="158"/>
      <c r="AD95" s="158"/>
      <c r="AE95" s="158"/>
      <c r="AF95" s="158"/>
      <c r="AG95" s="158"/>
      <c r="AH95" s="158"/>
      <c r="AI95" s="158"/>
      <c r="AJ95" s="158"/>
      <c r="AK95" s="158"/>
      <c r="AL95" s="158"/>
      <c r="AM95" s="158"/>
      <c r="AN95" s="158"/>
      <c r="AO95" s="159"/>
    </row>
    <row r="96" spans="1:41">
      <c r="Y96" s="115"/>
      <c r="Z96" s="116"/>
      <c r="AA96" s="116"/>
      <c r="AB96" s="116"/>
      <c r="AC96" s="116"/>
      <c r="AD96" s="116"/>
      <c r="AE96" s="116"/>
      <c r="AF96" s="116"/>
      <c r="AG96" s="116"/>
      <c r="AH96" s="116"/>
      <c r="AI96" s="116"/>
      <c r="AJ96" s="116"/>
      <c r="AK96" s="116"/>
      <c r="AL96" s="116"/>
      <c r="AM96" s="116"/>
      <c r="AN96" s="116"/>
      <c r="AO96" s="117"/>
    </row>
    <row r="97" spans="25:41">
      <c r="Y97" s="115"/>
      <c r="Z97" s="116"/>
      <c r="AA97" s="349" t="s">
        <v>248</v>
      </c>
      <c r="AB97" s="349"/>
      <c r="AC97" s="349"/>
      <c r="AD97" s="349"/>
      <c r="AE97" s="349"/>
      <c r="AF97" s="349"/>
      <c r="AG97" s="349"/>
      <c r="AH97" s="349"/>
      <c r="AI97" s="349"/>
      <c r="AJ97" s="349"/>
      <c r="AK97" s="349"/>
      <c r="AL97" s="349"/>
      <c r="AM97" s="349"/>
      <c r="AN97" s="116"/>
      <c r="AO97" s="117"/>
    </row>
    <row r="98" spans="25:41">
      <c r="Y98" s="115"/>
      <c r="Z98" s="116"/>
      <c r="AA98" s="349"/>
      <c r="AB98" s="349"/>
      <c r="AC98" s="349"/>
      <c r="AD98" s="349"/>
      <c r="AE98" s="349"/>
      <c r="AF98" s="349"/>
      <c r="AG98" s="349"/>
      <c r="AH98" s="349"/>
      <c r="AI98" s="349"/>
      <c r="AJ98" s="349"/>
      <c r="AK98" s="349"/>
      <c r="AL98" s="349"/>
      <c r="AM98" s="349"/>
      <c r="AN98" s="116"/>
      <c r="AO98" s="117"/>
    </row>
    <row r="99" spans="25:41">
      <c r="Y99" s="115"/>
      <c r="Z99" s="116"/>
      <c r="AA99" s="349"/>
      <c r="AB99" s="349"/>
      <c r="AC99" s="349"/>
      <c r="AD99" s="349"/>
      <c r="AE99" s="349"/>
      <c r="AF99" s="349"/>
      <c r="AG99" s="349"/>
      <c r="AH99" s="349"/>
      <c r="AI99" s="349"/>
      <c r="AJ99" s="349"/>
      <c r="AK99" s="349"/>
      <c r="AL99" s="349"/>
      <c r="AM99" s="349"/>
      <c r="AN99" s="116"/>
      <c r="AO99" s="117"/>
    </row>
    <row r="100" spans="25:41">
      <c r="Y100" s="115"/>
      <c r="Z100" s="116"/>
      <c r="AA100" s="349"/>
      <c r="AB100" s="349"/>
      <c r="AC100" s="349"/>
      <c r="AD100" s="349"/>
      <c r="AE100" s="349"/>
      <c r="AF100" s="349"/>
      <c r="AG100" s="349"/>
      <c r="AH100" s="349"/>
      <c r="AI100" s="349"/>
      <c r="AJ100" s="349"/>
      <c r="AK100" s="349"/>
      <c r="AL100" s="349"/>
      <c r="AM100" s="349"/>
      <c r="AN100" s="116"/>
      <c r="AO100" s="117"/>
    </row>
    <row r="101" spans="25:41" ht="15.75" thickBot="1">
      <c r="Y101" s="138"/>
      <c r="Z101" s="149"/>
      <c r="AA101" s="149"/>
      <c r="AB101" s="149"/>
      <c r="AC101" s="149"/>
      <c r="AD101" s="149"/>
      <c r="AE101" s="149"/>
      <c r="AF101" s="149"/>
      <c r="AG101" s="149"/>
      <c r="AH101" s="149"/>
      <c r="AI101" s="149"/>
      <c r="AJ101" s="149"/>
      <c r="AK101" s="149"/>
      <c r="AL101" s="149"/>
      <c r="AM101" s="149"/>
      <c r="AN101" s="149"/>
      <c r="AO101" s="150"/>
    </row>
    <row r="105" spans="25:41" ht="15.75" thickBot="1"/>
    <row r="106" spans="25:41">
      <c r="Y106" s="112"/>
      <c r="Z106" s="113"/>
      <c r="AA106" s="113"/>
      <c r="AB106" s="113"/>
      <c r="AC106" s="113"/>
      <c r="AD106" s="113"/>
      <c r="AE106" s="113"/>
      <c r="AF106" s="114"/>
    </row>
    <row r="107" spans="25:41">
      <c r="Y107" s="115"/>
      <c r="Z107" s="116"/>
      <c r="AA107" s="116"/>
      <c r="AB107" s="116"/>
      <c r="AC107" s="116"/>
      <c r="AD107" s="116"/>
      <c r="AE107" s="116"/>
      <c r="AF107" s="117"/>
    </row>
    <row r="108" spans="25:41">
      <c r="Y108" s="115"/>
      <c r="Z108" s="116"/>
      <c r="AA108" s="116"/>
      <c r="AB108" s="116"/>
      <c r="AC108" s="116"/>
      <c r="AD108" s="116"/>
      <c r="AE108" s="116"/>
      <c r="AF108" s="117"/>
    </row>
    <row r="109" spans="25:41">
      <c r="Y109" s="115"/>
      <c r="Z109" s="116"/>
      <c r="AA109" s="116"/>
      <c r="AB109" s="116"/>
      <c r="AC109" s="116"/>
      <c r="AD109" s="116"/>
      <c r="AE109" s="116"/>
      <c r="AF109" s="117"/>
    </row>
    <row r="110" spans="25:41">
      <c r="Y110" s="115"/>
      <c r="Z110" s="116"/>
      <c r="AA110" s="116"/>
      <c r="AB110" s="116"/>
      <c r="AC110" s="116"/>
      <c r="AD110" s="116"/>
      <c r="AE110" s="116"/>
      <c r="AF110" s="117"/>
    </row>
    <row r="111" spans="25:41">
      <c r="Y111" s="115"/>
      <c r="Z111" s="116"/>
      <c r="AA111" s="116"/>
      <c r="AB111" s="116"/>
      <c r="AC111" s="116"/>
      <c r="AD111" s="116"/>
      <c r="AE111" s="116"/>
      <c r="AF111" s="117"/>
    </row>
    <row r="112" spans="25:41">
      <c r="Y112" s="115"/>
      <c r="Z112" s="116"/>
      <c r="AA112" s="116"/>
      <c r="AB112" s="116"/>
      <c r="AC112" s="116"/>
      <c r="AD112" s="116"/>
      <c r="AE112" s="116"/>
      <c r="AF112" s="117"/>
    </row>
    <row r="113" spans="21:32">
      <c r="Y113" s="115"/>
      <c r="Z113" s="116"/>
      <c r="AA113" s="116"/>
      <c r="AB113" s="116"/>
      <c r="AC113" s="116"/>
      <c r="AD113" s="116"/>
      <c r="AE113" s="116"/>
      <c r="AF113" s="117"/>
    </row>
    <row r="114" spans="21:32">
      <c r="Y114" s="115"/>
      <c r="Z114" s="116"/>
      <c r="AA114" s="116"/>
      <c r="AB114" s="116"/>
      <c r="AC114" s="116"/>
      <c r="AD114" s="116"/>
      <c r="AE114" s="116"/>
      <c r="AF114" s="117"/>
    </row>
    <row r="115" spans="21:32">
      <c r="Y115" s="115"/>
      <c r="Z115" s="116"/>
      <c r="AA115" s="116"/>
      <c r="AB115" s="116"/>
      <c r="AC115" s="116"/>
      <c r="AD115" s="116"/>
      <c r="AE115" s="116"/>
      <c r="AF115" s="117"/>
    </row>
    <row r="116" spans="21:32">
      <c r="Y116" s="115"/>
      <c r="Z116" s="116"/>
      <c r="AA116" s="116"/>
      <c r="AB116" s="116"/>
      <c r="AC116" s="116"/>
      <c r="AD116" s="116"/>
      <c r="AE116" s="116"/>
      <c r="AF116" s="117"/>
    </row>
    <row r="117" spans="21:32">
      <c r="Y117" s="115"/>
      <c r="Z117" s="116"/>
      <c r="AA117" s="116"/>
      <c r="AB117" s="116"/>
      <c r="AC117" s="116"/>
      <c r="AD117" s="116"/>
      <c r="AE117" s="116"/>
      <c r="AF117" s="117"/>
    </row>
    <row r="118" spans="21:32">
      <c r="Y118" s="115"/>
      <c r="Z118" s="349" t="s">
        <v>263</v>
      </c>
      <c r="AA118" s="349"/>
      <c r="AB118" s="349"/>
      <c r="AC118" s="349"/>
      <c r="AD118" s="349"/>
      <c r="AE118" s="349"/>
      <c r="AF118" s="117"/>
    </row>
    <row r="119" spans="21:32">
      <c r="Y119" s="115"/>
      <c r="Z119" s="349"/>
      <c r="AA119" s="349"/>
      <c r="AB119" s="349"/>
      <c r="AC119" s="349"/>
      <c r="AD119" s="349"/>
      <c r="AE119" s="349"/>
      <c r="AF119" s="117"/>
    </row>
    <row r="120" spans="21:32">
      <c r="Y120" s="115"/>
      <c r="Z120" s="349"/>
      <c r="AA120" s="349"/>
      <c r="AB120" s="349"/>
      <c r="AC120" s="349"/>
      <c r="AD120" s="349"/>
      <c r="AE120" s="349"/>
      <c r="AF120" s="117"/>
    </row>
    <row r="121" spans="21:32">
      <c r="Y121" s="115"/>
      <c r="Z121" s="116"/>
      <c r="AA121" s="116"/>
      <c r="AB121" s="116"/>
      <c r="AC121" s="116"/>
      <c r="AD121" s="116"/>
      <c r="AE121" s="116"/>
      <c r="AF121" s="117"/>
    </row>
    <row r="122" spans="21:32" ht="15.75" thickBot="1">
      <c r="Y122" s="138"/>
      <c r="Z122" s="149"/>
      <c r="AA122" s="149"/>
      <c r="AB122" s="149"/>
      <c r="AC122" s="149"/>
      <c r="AD122" s="149"/>
      <c r="AE122" s="149"/>
      <c r="AF122" s="150"/>
    </row>
    <row r="126" spans="21:32" ht="16.5" customHeight="1">
      <c r="U126" s="74"/>
      <c r="V126" s="74"/>
      <c r="W126" s="74"/>
    </row>
    <row r="127" spans="21:32">
      <c r="U127" s="74"/>
      <c r="V127" s="74"/>
      <c r="W127" s="74"/>
    </row>
  </sheetData>
  <mergeCells count="20">
    <mergeCell ref="Z118:AE120"/>
    <mergeCell ref="A55:B55"/>
    <mergeCell ref="A56:B56"/>
    <mergeCell ref="A57:B57"/>
    <mergeCell ref="A58:B58"/>
    <mergeCell ref="A65:C65"/>
    <mergeCell ref="AA97:AM100"/>
    <mergeCell ref="B24:C24"/>
    <mergeCell ref="D24:E24"/>
    <mergeCell ref="F24:G24"/>
    <mergeCell ref="Z24:AN25"/>
    <mergeCell ref="AA44:AL47"/>
    <mergeCell ref="A47:B47"/>
    <mergeCell ref="A12:C12"/>
    <mergeCell ref="A13:C13"/>
    <mergeCell ref="A15:C15"/>
    <mergeCell ref="A16:C16"/>
    <mergeCell ref="O16:W19"/>
    <mergeCell ref="A17:C17"/>
    <mergeCell ref="A19:C19"/>
  </mergeCells>
  <hyperlinks>
    <hyperlink ref="A5" location="Wastewater" display="Wastewater"/>
    <hyperlink ref="A4" location="ActualFlowRate" display="ActualFlowRate"/>
    <hyperlink ref="A3" location="WaterHeaterParameters" display="WaterHeaterParameters"/>
    <hyperlink ref="G9" location="'Current Input Assumptions'!A1" display="back to top"/>
    <hyperlink ref="G22" location="'Current Input Assumptions'!A1" display="back to top"/>
    <hyperlink ref="G34" location="'Current Input Assumptions'!A1" display="back to top"/>
    <hyperlink ref="G53" location="'Current Input Assumptions'!A1" display="back to top"/>
    <hyperlink ref="A6" location="Costs" display="Showerhead Costs"/>
    <hyperlink ref="G62" location="'Current Input Assumptions'!A1" display="back to top"/>
    <hyperlink ref="A7" location="InstallationRates" display="Installation Rates"/>
  </hyperlinks>
  <pageMargins left="0.7" right="0.7" top="0.75" bottom="0.75" header="0.3" footer="0.3"/>
  <pageSetup orientation="portrait" verticalDpi="0" r:id="rId1"/>
  <drawing r:id="rId2"/>
  <legacyDrawing r:id="rId3"/>
</worksheet>
</file>

<file path=xl/worksheets/sheet19.xml><?xml version="1.0" encoding="utf-8"?>
<worksheet xmlns="http://schemas.openxmlformats.org/spreadsheetml/2006/main" xmlns:r="http://schemas.openxmlformats.org/officeDocument/2006/relationships">
  <sheetPr>
    <tabColor theme="6" tint="0.39997558519241921"/>
  </sheetPr>
  <dimension ref="A1:AO127"/>
  <sheetViews>
    <sheetView workbookViewId="0">
      <selection activeCell="E20" sqref="E20"/>
    </sheetView>
  </sheetViews>
  <sheetFormatPr defaultRowHeight="15"/>
  <cols>
    <col min="1" max="6" width="11.7109375" style="69" customWidth="1"/>
    <col min="7" max="7" width="14.5703125" style="69" customWidth="1"/>
    <col min="8" max="16384" width="9.140625" style="69"/>
  </cols>
  <sheetData>
    <row r="1" spans="1:41" ht="15.75" thickBot="1"/>
    <row r="2" spans="1:41">
      <c r="A2" s="99" t="s">
        <v>204</v>
      </c>
      <c r="B2" s="100"/>
      <c r="C2" s="100"/>
      <c r="D2" s="100"/>
      <c r="F2" s="101" t="s">
        <v>205</v>
      </c>
      <c r="G2" s="102"/>
      <c r="H2" s="102"/>
      <c r="I2" s="102"/>
      <c r="J2" s="102"/>
      <c r="K2" s="103"/>
    </row>
    <row r="3" spans="1:41" ht="15.75" thickBot="1">
      <c r="A3" s="104" t="str">
        <f>A9</f>
        <v>Water Heater Parameters</v>
      </c>
      <c r="B3" s="105"/>
      <c r="C3" s="105"/>
      <c r="D3" s="105"/>
      <c r="F3" s="106" t="s">
        <v>206</v>
      </c>
      <c r="G3" s="107"/>
      <c r="H3" s="107"/>
      <c r="I3" s="107"/>
      <c r="J3" s="107"/>
      <c r="K3" s="108"/>
    </row>
    <row r="4" spans="1:41" ht="15.75" thickBot="1">
      <c r="A4" s="104" t="str">
        <f>A22</f>
        <v>Actual Flow Rate as a Percentage of Rated Flow Rate</v>
      </c>
      <c r="B4" s="105"/>
      <c r="C4" s="105"/>
      <c r="D4" s="105"/>
      <c r="F4" s="109" t="s">
        <v>207</v>
      </c>
      <c r="G4" s="110"/>
      <c r="H4" s="110"/>
      <c r="I4" s="110"/>
      <c r="J4" s="110"/>
      <c r="K4" s="111"/>
      <c r="O4" s="112"/>
      <c r="P4" s="113"/>
      <c r="Q4" s="113"/>
      <c r="R4" s="113"/>
      <c r="S4" s="113"/>
      <c r="T4" s="113"/>
      <c r="U4" s="113"/>
      <c r="V4" s="113"/>
      <c r="W4" s="114"/>
    </row>
    <row r="5" spans="1:41">
      <c r="A5" s="104" t="str">
        <f>A34</f>
        <v>Wastewater</v>
      </c>
      <c r="B5" s="105"/>
      <c r="C5" s="105"/>
      <c r="D5" s="105"/>
      <c r="O5" s="115"/>
      <c r="P5" s="116"/>
      <c r="Q5" s="116"/>
      <c r="R5" s="116"/>
      <c r="S5" s="116"/>
      <c r="T5" s="116"/>
      <c r="U5" s="116"/>
      <c r="V5" s="116"/>
      <c r="W5" s="117"/>
      <c r="Y5" s="115"/>
      <c r="Z5" s="116"/>
      <c r="AA5" s="116"/>
      <c r="AB5" s="116"/>
      <c r="AC5" s="116"/>
      <c r="AD5" s="116"/>
      <c r="AE5" s="116"/>
      <c r="AF5" s="116"/>
      <c r="AG5" s="116"/>
      <c r="AH5" s="116"/>
      <c r="AI5" s="116"/>
      <c r="AJ5" s="116"/>
      <c r="AK5" s="116"/>
      <c r="AL5" s="116"/>
      <c r="AM5" s="116"/>
      <c r="AN5" s="117"/>
    </row>
    <row r="6" spans="1:41">
      <c r="A6" s="104" t="s">
        <v>208</v>
      </c>
      <c r="B6" s="105"/>
      <c r="C6" s="105"/>
      <c r="D6" s="105"/>
      <c r="O6" s="115"/>
      <c r="P6" s="116"/>
      <c r="Q6" s="116"/>
      <c r="R6" s="116"/>
      <c r="S6" s="116"/>
      <c r="T6" s="116"/>
      <c r="U6" s="116"/>
      <c r="V6" s="116"/>
      <c r="W6" s="117"/>
      <c r="Y6" s="115"/>
      <c r="Z6" s="116"/>
      <c r="AA6" s="116"/>
      <c r="AB6" s="116"/>
      <c r="AC6" s="116"/>
      <c r="AD6" s="116"/>
      <c r="AE6" s="116"/>
      <c r="AF6" s="116"/>
      <c r="AG6" s="116"/>
      <c r="AH6" s="116"/>
      <c r="AI6" s="116"/>
      <c r="AJ6" s="116"/>
      <c r="AK6" s="116"/>
      <c r="AL6" s="116"/>
      <c r="AM6" s="116"/>
      <c r="AN6" s="117"/>
    </row>
    <row r="7" spans="1:41">
      <c r="A7" s="104" t="s">
        <v>209</v>
      </c>
      <c r="B7" s="105"/>
      <c r="C7" s="105"/>
      <c r="D7" s="105"/>
      <c r="O7" s="115"/>
      <c r="P7" s="116"/>
      <c r="Q7" s="116"/>
      <c r="R7" s="116"/>
      <c r="S7" s="116"/>
      <c r="T7" s="116"/>
      <c r="U7" s="116"/>
      <c r="V7" s="116"/>
      <c r="W7" s="117"/>
      <c r="Y7" s="115"/>
      <c r="Z7" s="116"/>
      <c r="AA7" s="116"/>
      <c r="AB7" s="116"/>
      <c r="AC7" s="116"/>
      <c r="AD7" s="116"/>
      <c r="AE7" s="116"/>
      <c r="AF7" s="116"/>
      <c r="AG7" s="116"/>
      <c r="AH7" s="116"/>
      <c r="AI7" s="116"/>
      <c r="AJ7" s="116"/>
      <c r="AK7" s="116"/>
      <c r="AL7" s="116"/>
      <c r="AM7" s="116"/>
      <c r="AN7" s="117"/>
    </row>
    <row r="8" spans="1:41">
      <c r="O8" s="115"/>
      <c r="P8" s="116"/>
      <c r="Q8" s="116"/>
      <c r="R8" s="116"/>
      <c r="S8" s="116"/>
      <c r="T8" s="116"/>
      <c r="U8" s="116"/>
      <c r="V8" s="116"/>
      <c r="W8" s="117"/>
      <c r="Y8" s="115"/>
      <c r="Z8" s="116"/>
      <c r="AA8" s="116"/>
      <c r="AB8" s="116"/>
      <c r="AC8" s="116"/>
      <c r="AD8" s="116"/>
      <c r="AE8" s="116"/>
      <c r="AF8" s="116"/>
      <c r="AG8" s="116"/>
      <c r="AH8" s="116"/>
      <c r="AI8" s="116"/>
      <c r="AJ8" s="116"/>
      <c r="AK8" s="116"/>
      <c r="AL8" s="116"/>
      <c r="AM8" s="116"/>
      <c r="AN8" s="117"/>
    </row>
    <row r="9" spans="1:41">
      <c r="A9" s="118" t="s">
        <v>210</v>
      </c>
      <c r="B9" s="119"/>
      <c r="C9" s="119"/>
      <c r="D9" s="119"/>
      <c r="E9" s="119"/>
      <c r="F9" s="119"/>
      <c r="G9" s="120" t="s">
        <v>211</v>
      </c>
      <c r="H9" s="119"/>
      <c r="I9" s="119"/>
      <c r="J9" s="119"/>
      <c r="K9" s="119"/>
      <c r="L9" s="121"/>
      <c r="M9" s="121"/>
      <c r="N9" s="121"/>
      <c r="O9" s="115"/>
      <c r="P9" s="116"/>
      <c r="Q9" s="116"/>
      <c r="R9" s="116"/>
      <c r="S9" s="116"/>
      <c r="T9" s="116"/>
      <c r="U9" s="116"/>
      <c r="V9" s="116"/>
      <c r="W9" s="117"/>
      <c r="Y9" s="115"/>
      <c r="Z9" s="116"/>
      <c r="AA9" s="116"/>
      <c r="AB9" s="116"/>
      <c r="AC9" s="116"/>
      <c r="AD9" s="116"/>
      <c r="AE9" s="116"/>
      <c r="AF9" s="116"/>
      <c r="AG9" s="116"/>
      <c r="AH9" s="116"/>
      <c r="AI9" s="116"/>
      <c r="AJ9" s="116"/>
      <c r="AK9" s="116"/>
      <c r="AL9" s="116"/>
      <c r="AM9" s="116"/>
      <c r="AN9" s="117"/>
      <c r="AO9" s="116"/>
    </row>
    <row r="10" spans="1:41">
      <c r="B10" s="122"/>
      <c r="C10" s="121"/>
      <c r="D10" s="121"/>
      <c r="E10" s="121"/>
      <c r="F10" s="121"/>
      <c r="G10" s="121"/>
      <c r="H10" s="121"/>
      <c r="I10" s="121"/>
      <c r="J10" s="121"/>
      <c r="K10" s="121"/>
      <c r="L10" s="121"/>
      <c r="M10" s="121"/>
      <c r="N10" s="121"/>
      <c r="O10" s="115"/>
      <c r="P10" s="116"/>
      <c r="Q10" s="116"/>
      <c r="R10" s="116"/>
      <c r="S10" s="116"/>
      <c r="T10" s="116"/>
      <c r="U10" s="116"/>
      <c r="V10" s="116"/>
      <c r="W10" s="117"/>
      <c r="Y10" s="115"/>
      <c r="Z10" s="116"/>
      <c r="AA10" s="116"/>
      <c r="AB10" s="116"/>
      <c r="AC10" s="116"/>
      <c r="AD10" s="116"/>
      <c r="AE10" s="116"/>
      <c r="AF10" s="116"/>
      <c r="AG10" s="116"/>
      <c r="AH10" s="116"/>
      <c r="AI10" s="116"/>
      <c r="AJ10" s="116"/>
      <c r="AK10" s="116"/>
      <c r="AL10" s="116"/>
      <c r="AM10" s="116"/>
      <c r="AN10" s="117"/>
      <c r="AO10" s="116"/>
    </row>
    <row r="11" spans="1:41" ht="15.75" thickBot="1">
      <c r="A11" s="123" t="s">
        <v>212</v>
      </c>
      <c r="B11" s="123"/>
      <c r="C11" s="124"/>
      <c r="D11" s="124"/>
      <c r="E11" s="121"/>
      <c r="F11" s="121"/>
      <c r="G11" s="121"/>
      <c r="H11" s="121"/>
      <c r="I11" s="121"/>
      <c r="J11" s="121"/>
      <c r="K11" s="121"/>
      <c r="L11" s="121"/>
      <c r="M11" s="121"/>
      <c r="N11" s="121"/>
      <c r="O11" s="115"/>
      <c r="P11" s="116"/>
      <c r="Q11" s="116"/>
      <c r="R11" s="116"/>
      <c r="S11" s="116"/>
      <c r="T11" s="116"/>
      <c r="U11" s="116"/>
      <c r="V11" s="116"/>
      <c r="W11" s="117"/>
      <c r="Y11" s="115"/>
      <c r="Z11" s="116"/>
      <c r="AA11" s="116"/>
      <c r="AB11" s="116"/>
      <c r="AC11" s="116"/>
      <c r="AD11" s="116"/>
      <c r="AE11" s="116"/>
      <c r="AF11" s="116"/>
      <c r="AG11" s="116"/>
      <c r="AH11" s="116"/>
      <c r="AI11" s="116"/>
      <c r="AJ11" s="116"/>
      <c r="AK11" s="116"/>
      <c r="AL11" s="116"/>
      <c r="AM11" s="116"/>
      <c r="AN11" s="117"/>
      <c r="AO11" s="116"/>
    </row>
    <row r="12" spans="1:41" ht="16.5" thickTop="1" thickBot="1">
      <c r="A12" s="358" t="s">
        <v>200</v>
      </c>
      <c r="B12" s="359"/>
      <c r="C12" s="360"/>
      <c r="D12" s="125">
        <v>0.98</v>
      </c>
      <c r="E12" s="121"/>
      <c r="F12" s="121"/>
      <c r="G12" s="296">
        <v>2</v>
      </c>
      <c r="H12" s="297" t="s">
        <v>551</v>
      </c>
      <c r="I12" s="297"/>
      <c r="J12" s="121"/>
      <c r="K12" s="121"/>
      <c r="L12" s="121"/>
      <c r="M12" s="121"/>
      <c r="N12" s="121"/>
      <c r="O12" s="115"/>
      <c r="P12" s="116"/>
      <c r="Q12" s="116"/>
      <c r="R12" s="116"/>
      <c r="S12" s="116"/>
      <c r="T12" s="116"/>
      <c r="U12" s="116"/>
      <c r="V12" s="116"/>
      <c r="W12" s="117"/>
      <c r="Y12" s="115"/>
      <c r="Z12" s="116"/>
      <c r="AA12" s="116"/>
      <c r="AB12" s="116"/>
      <c r="AC12" s="116"/>
      <c r="AD12" s="116"/>
      <c r="AE12" s="116"/>
      <c r="AF12" s="116"/>
      <c r="AG12" s="116"/>
      <c r="AH12" s="116"/>
      <c r="AI12" s="116"/>
      <c r="AJ12" s="116"/>
      <c r="AK12" s="116"/>
      <c r="AL12" s="116"/>
      <c r="AM12" s="116"/>
      <c r="AN12" s="117"/>
      <c r="AO12" s="116"/>
    </row>
    <row r="13" spans="1:41" ht="16.5" thickTop="1" thickBot="1">
      <c r="A13" s="358" t="s">
        <v>201</v>
      </c>
      <c r="B13" s="359"/>
      <c r="C13" s="360"/>
      <c r="D13" s="125">
        <v>0.75</v>
      </c>
      <c r="E13" s="121"/>
      <c r="F13" s="121"/>
      <c r="G13" s="121"/>
      <c r="H13" s="121"/>
      <c r="I13" s="121"/>
      <c r="J13" s="121"/>
      <c r="K13" s="121"/>
      <c r="L13" s="121"/>
      <c r="M13" s="121"/>
      <c r="N13" s="121"/>
      <c r="O13" s="115"/>
      <c r="P13" s="116"/>
      <c r="Q13" s="116"/>
      <c r="R13" s="116"/>
      <c r="S13" s="116"/>
      <c r="T13" s="116"/>
      <c r="U13" s="116"/>
      <c r="V13" s="116"/>
      <c r="W13" s="117"/>
      <c r="Y13" s="115"/>
      <c r="Z13" s="116"/>
      <c r="AA13" s="116"/>
      <c r="AB13" s="116"/>
      <c r="AC13" s="116"/>
      <c r="AD13" s="116"/>
      <c r="AE13" s="116"/>
      <c r="AF13" s="116"/>
      <c r="AG13" s="116"/>
      <c r="AH13" s="116"/>
      <c r="AI13" s="116"/>
      <c r="AJ13" s="116"/>
      <c r="AK13" s="116"/>
      <c r="AL13" s="116"/>
      <c r="AM13" s="116"/>
      <c r="AN13" s="117"/>
      <c r="AO13" s="116"/>
    </row>
    <row r="14" spans="1:41" ht="16.5" thickTop="1" thickBot="1">
      <c r="A14" s="123" t="s">
        <v>213</v>
      </c>
      <c r="B14" s="123"/>
      <c r="C14" s="126"/>
      <c r="D14" s="127"/>
      <c r="E14" s="121"/>
      <c r="F14" s="121"/>
      <c r="G14" s="121"/>
      <c r="H14" s="121"/>
      <c r="I14" s="121"/>
      <c r="J14" s="121"/>
      <c r="K14" s="121"/>
      <c r="L14" s="121"/>
      <c r="M14" s="121"/>
      <c r="N14" s="121"/>
      <c r="O14" s="115"/>
      <c r="P14" s="116"/>
      <c r="Q14" s="116"/>
      <c r="R14" s="116"/>
      <c r="S14" s="116"/>
      <c r="T14" s="116"/>
      <c r="U14" s="116"/>
      <c r="V14" s="116"/>
      <c r="W14" s="117"/>
      <c r="Y14" s="115"/>
      <c r="Z14" s="116"/>
      <c r="AA14" s="116"/>
      <c r="AB14" s="116"/>
      <c r="AC14" s="116"/>
      <c r="AD14" s="116"/>
      <c r="AE14" s="116"/>
      <c r="AF14" s="116"/>
      <c r="AG14" s="116"/>
      <c r="AH14" s="116"/>
      <c r="AI14" s="116"/>
      <c r="AJ14" s="116"/>
      <c r="AK14" s="116"/>
      <c r="AL14" s="116"/>
      <c r="AM14" s="116"/>
      <c r="AN14" s="117"/>
      <c r="AO14" s="116"/>
    </row>
    <row r="15" spans="1:41" ht="16.5" thickTop="1" thickBot="1">
      <c r="A15" s="358" t="s">
        <v>214</v>
      </c>
      <c r="B15" s="359"/>
      <c r="C15" s="360"/>
      <c r="D15" s="128">
        <f>D17*29.3</f>
        <v>2.4436200000000001E-3</v>
      </c>
      <c r="E15" s="121"/>
      <c r="F15" s="121"/>
      <c r="G15" s="121"/>
      <c r="H15" s="121"/>
      <c r="I15" s="121"/>
      <c r="J15" s="121"/>
      <c r="K15" s="121"/>
      <c r="L15" s="121"/>
      <c r="M15" s="121"/>
      <c r="N15" s="121"/>
      <c r="O15" s="115"/>
      <c r="P15" s="116"/>
      <c r="Q15" s="116"/>
      <c r="R15" s="116"/>
      <c r="S15" s="116"/>
      <c r="T15" s="116"/>
      <c r="U15" s="116"/>
      <c r="V15" s="116"/>
      <c r="W15" s="117"/>
      <c r="Y15" s="115"/>
      <c r="Z15" s="116"/>
      <c r="AA15" s="116"/>
      <c r="AB15" s="116"/>
      <c r="AC15" s="116"/>
      <c r="AD15" s="116"/>
      <c r="AE15" s="116"/>
      <c r="AF15" s="116"/>
      <c r="AG15" s="116"/>
      <c r="AH15" s="116"/>
      <c r="AI15" s="116"/>
      <c r="AJ15" s="116"/>
      <c r="AK15" s="116"/>
      <c r="AL15" s="116"/>
      <c r="AM15" s="116"/>
      <c r="AN15" s="117"/>
      <c r="AO15" s="116"/>
    </row>
    <row r="16" spans="1:41" ht="16.5" thickTop="1" thickBot="1">
      <c r="A16" s="358" t="s">
        <v>215</v>
      </c>
      <c r="B16" s="359"/>
      <c r="C16" s="360"/>
      <c r="D16" s="129">
        <v>8.34</v>
      </c>
      <c r="E16" s="121"/>
      <c r="F16" s="121"/>
      <c r="G16" s="121"/>
      <c r="H16" s="121"/>
      <c r="I16" s="121"/>
      <c r="J16" s="121"/>
      <c r="K16" s="121"/>
      <c r="L16" s="121"/>
      <c r="M16" s="121"/>
      <c r="N16" s="121"/>
      <c r="O16" s="361" t="s">
        <v>216</v>
      </c>
      <c r="P16" s="349"/>
      <c r="Q16" s="349"/>
      <c r="R16" s="349"/>
      <c r="S16" s="349"/>
      <c r="T16" s="349"/>
      <c r="U16" s="349"/>
      <c r="V16" s="349"/>
      <c r="W16" s="353"/>
      <c r="Y16" s="115"/>
      <c r="Z16" s="116"/>
      <c r="AA16" s="116"/>
      <c r="AB16" s="116"/>
      <c r="AC16" s="116"/>
      <c r="AD16" s="116"/>
      <c r="AE16" s="116"/>
      <c r="AF16" s="116"/>
      <c r="AG16" s="116"/>
      <c r="AH16" s="116"/>
      <c r="AI16" s="116"/>
      <c r="AJ16" s="116"/>
      <c r="AK16" s="116"/>
      <c r="AL16" s="116"/>
      <c r="AM16" s="116"/>
      <c r="AN16" s="117"/>
      <c r="AO16" s="116"/>
    </row>
    <row r="17" spans="1:41" ht="16.5" customHeight="1" thickTop="1" thickBot="1">
      <c r="A17" s="358" t="s">
        <v>217</v>
      </c>
      <c r="B17" s="359"/>
      <c r="C17" s="360"/>
      <c r="D17" s="129">
        <f>D16/100000</f>
        <v>8.3399999999999994E-5</v>
      </c>
      <c r="E17" s="121"/>
      <c r="F17" s="121"/>
      <c r="G17" s="121"/>
      <c r="H17" s="121"/>
      <c r="I17" s="121"/>
      <c r="J17" s="121"/>
      <c r="K17" s="121"/>
      <c r="L17" s="121"/>
      <c r="M17" s="121"/>
      <c r="N17" s="121"/>
      <c r="O17" s="361"/>
      <c r="P17" s="349"/>
      <c r="Q17" s="349"/>
      <c r="R17" s="349"/>
      <c r="S17" s="349"/>
      <c r="T17" s="349"/>
      <c r="U17" s="349"/>
      <c r="V17" s="349"/>
      <c r="W17" s="353"/>
      <c r="Y17" s="115"/>
      <c r="Z17" s="116"/>
      <c r="AA17" s="116"/>
      <c r="AB17" s="116"/>
      <c r="AC17" s="116"/>
      <c r="AD17" s="116"/>
      <c r="AE17" s="116"/>
      <c r="AF17" s="116"/>
      <c r="AG17" s="116"/>
      <c r="AH17" s="116"/>
      <c r="AI17" s="116"/>
      <c r="AJ17" s="116"/>
      <c r="AK17" s="116"/>
      <c r="AL17" s="116"/>
      <c r="AM17" s="116"/>
      <c r="AN17" s="117"/>
      <c r="AO17" s="116"/>
    </row>
    <row r="18" spans="1:41" ht="16.5" thickTop="1" thickBot="1">
      <c r="A18" s="123" t="s">
        <v>218</v>
      </c>
      <c r="B18" s="123"/>
      <c r="C18" s="126"/>
      <c r="D18" s="127"/>
      <c r="E18" s="121"/>
      <c r="F18" s="121"/>
      <c r="G18" s="121"/>
      <c r="H18" s="121"/>
      <c r="I18" s="121"/>
      <c r="J18" s="121"/>
      <c r="K18" s="121"/>
      <c r="L18" s="121"/>
      <c r="M18" s="121"/>
      <c r="N18" s="121"/>
      <c r="O18" s="361"/>
      <c r="P18" s="349"/>
      <c r="Q18" s="349"/>
      <c r="R18" s="349"/>
      <c r="S18" s="349"/>
      <c r="T18" s="349"/>
      <c r="U18" s="349"/>
      <c r="V18" s="349"/>
      <c r="W18" s="353"/>
      <c r="Y18" s="115"/>
      <c r="Z18" s="116"/>
      <c r="AA18" s="116"/>
      <c r="AB18" s="116"/>
      <c r="AC18" s="116"/>
      <c r="AD18" s="116"/>
      <c r="AE18" s="116"/>
      <c r="AF18" s="116"/>
      <c r="AG18" s="116"/>
      <c r="AH18" s="116"/>
      <c r="AI18" s="116"/>
      <c r="AJ18" s="116"/>
      <c r="AK18" s="116"/>
      <c r="AL18" s="116"/>
      <c r="AM18" s="116"/>
      <c r="AN18" s="117"/>
      <c r="AO18" s="116"/>
    </row>
    <row r="19" spans="1:41" ht="16.5" thickTop="1" thickBot="1">
      <c r="A19" s="358" t="s">
        <v>219</v>
      </c>
      <c r="B19" s="359"/>
      <c r="C19" s="360"/>
      <c r="D19" s="125">
        <f>[2]SATS!$F$47</f>
        <v>0.88900000000000001</v>
      </c>
      <c r="E19" s="130" t="s">
        <v>55</v>
      </c>
      <c r="G19" s="121"/>
      <c r="H19" s="121"/>
      <c r="I19" s="121"/>
      <c r="J19" s="121"/>
      <c r="K19" s="121"/>
      <c r="L19" s="121"/>
      <c r="M19" s="121"/>
      <c r="N19" s="121"/>
      <c r="O19" s="362"/>
      <c r="P19" s="354"/>
      <c r="Q19" s="354"/>
      <c r="R19" s="354"/>
      <c r="S19" s="354"/>
      <c r="T19" s="354"/>
      <c r="U19" s="354"/>
      <c r="V19" s="354"/>
      <c r="W19" s="355"/>
      <c r="Y19" s="115"/>
      <c r="Z19" s="116"/>
      <c r="AA19" s="116"/>
      <c r="AB19" s="116"/>
      <c r="AC19" s="116"/>
      <c r="AD19" s="116"/>
      <c r="AE19" s="116"/>
      <c r="AF19" s="116"/>
      <c r="AG19" s="116"/>
      <c r="AH19" s="116"/>
      <c r="AI19" s="116"/>
      <c r="AJ19" s="116"/>
      <c r="AK19" s="116"/>
      <c r="AL19" s="116"/>
      <c r="AM19" s="116"/>
      <c r="AN19" s="117"/>
      <c r="AO19" s="116"/>
    </row>
    <row r="20" spans="1:41" ht="15.75" thickTop="1">
      <c r="A20" s="121" t="s">
        <v>645</v>
      </c>
      <c r="B20" s="121"/>
      <c r="C20" s="121"/>
      <c r="D20" s="121">
        <v>2.5099999999999998</v>
      </c>
      <c r="E20" s="130" t="s">
        <v>55</v>
      </c>
      <c r="F20" s="121"/>
      <c r="G20" s="121"/>
      <c r="H20" s="121"/>
      <c r="I20" s="121"/>
      <c r="J20" s="121"/>
      <c r="K20" s="121"/>
      <c r="L20" s="121"/>
      <c r="M20" s="121"/>
      <c r="N20" s="121"/>
      <c r="Y20" s="115"/>
      <c r="Z20" s="116"/>
      <c r="AA20" s="116"/>
      <c r="AB20" s="116"/>
      <c r="AC20" s="116"/>
      <c r="AD20" s="116"/>
      <c r="AE20" s="116"/>
      <c r="AF20" s="116"/>
      <c r="AG20" s="116"/>
      <c r="AH20" s="116"/>
      <c r="AI20" s="116"/>
      <c r="AJ20" s="116"/>
      <c r="AK20" s="116"/>
      <c r="AL20" s="116"/>
      <c r="AM20" s="116"/>
      <c r="AN20" s="117"/>
      <c r="AO20" s="116"/>
    </row>
    <row r="21" spans="1:41">
      <c r="A21" s="121"/>
      <c r="B21" s="121"/>
      <c r="C21" s="121"/>
      <c r="D21" s="121"/>
      <c r="E21" s="121"/>
      <c r="F21" s="121"/>
      <c r="G21" s="121"/>
      <c r="H21" s="121"/>
      <c r="I21" s="121"/>
      <c r="J21" s="121"/>
      <c r="K21" s="121"/>
      <c r="L21" s="121"/>
      <c r="M21" s="121"/>
      <c r="N21" s="121"/>
      <c r="Y21" s="115"/>
      <c r="Z21" s="116"/>
      <c r="AA21" s="116"/>
      <c r="AB21" s="116"/>
      <c r="AC21" s="116"/>
      <c r="AD21" s="116"/>
      <c r="AE21" s="116"/>
      <c r="AF21" s="116"/>
      <c r="AG21" s="116"/>
      <c r="AH21" s="116"/>
      <c r="AI21" s="116"/>
      <c r="AJ21" s="116"/>
      <c r="AK21" s="116"/>
      <c r="AL21" s="116"/>
      <c r="AM21" s="116"/>
      <c r="AN21" s="117"/>
      <c r="AO21" s="116"/>
    </row>
    <row r="22" spans="1:41">
      <c r="A22" s="131" t="s">
        <v>220</v>
      </c>
      <c r="B22" s="119"/>
      <c r="C22" s="119"/>
      <c r="D22" s="119"/>
      <c r="E22" s="119"/>
      <c r="F22" s="119"/>
      <c r="G22" s="120" t="s">
        <v>211</v>
      </c>
      <c r="H22" s="119"/>
      <c r="I22" s="119"/>
      <c r="J22" s="119"/>
      <c r="K22" s="119"/>
      <c r="L22" s="121"/>
      <c r="M22" s="121"/>
      <c r="N22" s="121"/>
      <c r="Y22" s="115"/>
      <c r="Z22" s="116"/>
      <c r="AA22" s="116"/>
      <c r="AB22" s="116"/>
      <c r="AC22" s="116"/>
      <c r="AD22" s="116"/>
      <c r="AE22" s="116"/>
      <c r="AF22" s="116"/>
      <c r="AG22" s="116"/>
      <c r="AH22" s="116"/>
      <c r="AI22" s="116"/>
      <c r="AJ22" s="116"/>
      <c r="AK22" s="116"/>
      <c r="AL22" s="116"/>
      <c r="AM22" s="116"/>
      <c r="AN22" s="117"/>
      <c r="AO22" s="116"/>
    </row>
    <row r="23" spans="1:41" ht="15.75" thickBot="1">
      <c r="A23" s="132"/>
      <c r="B23" s="121"/>
      <c r="C23" s="121"/>
      <c r="D23" s="121"/>
      <c r="E23" s="121"/>
      <c r="F23" s="121"/>
      <c r="G23" s="121"/>
      <c r="H23" s="133" t="s">
        <v>221</v>
      </c>
      <c r="I23" s="121"/>
      <c r="J23" s="121"/>
      <c r="K23" s="121"/>
      <c r="L23" s="121"/>
      <c r="M23" s="121"/>
      <c r="N23" s="121"/>
      <c r="Y23" s="115"/>
      <c r="Z23" s="116"/>
      <c r="AA23" s="116"/>
      <c r="AB23" s="116"/>
      <c r="AC23" s="116"/>
      <c r="AD23" s="116"/>
      <c r="AE23" s="116"/>
      <c r="AF23" s="116"/>
      <c r="AG23" s="116"/>
      <c r="AH23" s="116"/>
      <c r="AI23" s="116"/>
      <c r="AJ23" s="116"/>
      <c r="AK23" s="116"/>
      <c r="AL23" s="116"/>
      <c r="AM23" s="116"/>
      <c r="AN23" s="117"/>
      <c r="AO23" s="116"/>
    </row>
    <row r="24" spans="1:41" ht="16.5" thickTop="1" thickBot="1">
      <c r="A24" s="121"/>
      <c r="B24" s="356" t="s">
        <v>222</v>
      </c>
      <c r="C24" s="357"/>
      <c r="D24" s="356" t="s">
        <v>223</v>
      </c>
      <c r="E24" s="357"/>
      <c r="F24" s="356" t="s">
        <v>224</v>
      </c>
      <c r="G24" s="357"/>
      <c r="H24" s="121" t="s">
        <v>225</v>
      </c>
      <c r="I24" s="121"/>
      <c r="J24" s="121"/>
      <c r="K24" s="121"/>
      <c r="L24" s="121"/>
      <c r="M24" s="121"/>
      <c r="N24" s="121"/>
      <c r="Y24" s="115"/>
      <c r="Z24" s="349" t="s">
        <v>226</v>
      </c>
      <c r="AA24" s="349"/>
      <c r="AB24" s="349"/>
      <c r="AC24" s="349"/>
      <c r="AD24" s="349"/>
      <c r="AE24" s="349"/>
      <c r="AF24" s="349"/>
      <c r="AG24" s="349"/>
      <c r="AH24" s="349"/>
      <c r="AI24" s="349"/>
      <c r="AJ24" s="349"/>
      <c r="AK24" s="349"/>
      <c r="AL24" s="349"/>
      <c r="AM24" s="349"/>
      <c r="AN24" s="353"/>
      <c r="AO24" s="116"/>
    </row>
    <row r="25" spans="1:41" ht="46.5" thickTop="1" thickBot="1">
      <c r="A25" s="314" t="s">
        <v>227</v>
      </c>
      <c r="B25" s="135" t="s">
        <v>228</v>
      </c>
      <c r="C25" s="135" t="s">
        <v>229</v>
      </c>
      <c r="D25" s="135" t="s">
        <v>230</v>
      </c>
      <c r="E25" s="135" t="s">
        <v>231</v>
      </c>
      <c r="F25" s="135" t="s">
        <v>169</v>
      </c>
      <c r="G25" s="136" t="s">
        <v>232</v>
      </c>
      <c r="H25" s="133" t="s">
        <v>233</v>
      </c>
      <c r="I25" s="121"/>
      <c r="J25" s="121"/>
      <c r="K25" s="137"/>
      <c r="L25" s="137"/>
      <c r="M25" s="137"/>
      <c r="N25" s="137"/>
      <c r="Y25" s="138"/>
      <c r="Z25" s="354"/>
      <c r="AA25" s="354"/>
      <c r="AB25" s="354"/>
      <c r="AC25" s="354"/>
      <c r="AD25" s="354"/>
      <c r="AE25" s="354"/>
      <c r="AF25" s="354"/>
      <c r="AG25" s="354"/>
      <c r="AH25" s="354"/>
      <c r="AI25" s="354"/>
      <c r="AJ25" s="354"/>
      <c r="AK25" s="354"/>
      <c r="AL25" s="354"/>
      <c r="AM25" s="354"/>
      <c r="AN25" s="355"/>
      <c r="AO25" s="116"/>
    </row>
    <row r="26" spans="1:41" ht="16.5" thickTop="1" thickBot="1">
      <c r="A26" s="139">
        <v>2.5</v>
      </c>
      <c r="B26" s="140">
        <v>2.2000000000000002</v>
      </c>
      <c r="C26" s="141">
        <v>0.9</v>
      </c>
      <c r="D26" s="142">
        <v>7.84</v>
      </c>
      <c r="E26" s="141">
        <v>1</v>
      </c>
      <c r="F26" s="143">
        <v>0.73099999999999998</v>
      </c>
      <c r="G26" s="144">
        <f>55*(1-F26)+128*(F26)</f>
        <v>108.363</v>
      </c>
      <c r="H26" s="145" t="s">
        <v>234</v>
      </c>
      <c r="I26" s="121"/>
      <c r="J26" s="121"/>
      <c r="K26" s="121"/>
      <c r="L26" s="121"/>
      <c r="M26" s="121"/>
      <c r="N26" s="121"/>
    </row>
    <row r="27" spans="1:41" ht="16.5" thickTop="1" thickBot="1">
      <c r="A27" s="146">
        <v>2</v>
      </c>
      <c r="B27" s="140">
        <f>A27*C27</f>
        <v>1.8</v>
      </c>
      <c r="C27" s="141">
        <v>0.9</v>
      </c>
      <c r="D27" s="140">
        <f>E27*$D$26</f>
        <v>7.84</v>
      </c>
      <c r="E27" s="141">
        <v>1</v>
      </c>
      <c r="F27" s="143">
        <v>0.755</v>
      </c>
      <c r="G27" s="144">
        <f>55*(1-F27)+128*(F27)</f>
        <v>110.11499999999999</v>
      </c>
      <c r="H27" s="69" t="s">
        <v>235</v>
      </c>
      <c r="I27" s="121"/>
      <c r="J27" s="121"/>
      <c r="K27" s="121"/>
      <c r="L27" s="121"/>
      <c r="M27" s="121"/>
      <c r="N27" s="121"/>
      <c r="Y27" s="112"/>
      <c r="Z27" s="113"/>
      <c r="AA27" s="113"/>
      <c r="AB27" s="113"/>
      <c r="AC27" s="113"/>
      <c r="AD27" s="113"/>
      <c r="AE27" s="113"/>
      <c r="AF27" s="113"/>
      <c r="AG27" s="113"/>
      <c r="AH27" s="113"/>
      <c r="AI27" s="113"/>
      <c r="AJ27" s="113"/>
      <c r="AK27" s="113"/>
      <c r="AL27" s="113"/>
      <c r="AM27" s="113"/>
      <c r="AN27" s="113"/>
      <c r="AO27" s="114"/>
    </row>
    <row r="28" spans="1:41" ht="16.5" thickTop="1" thickBot="1">
      <c r="A28" s="146">
        <v>1.75</v>
      </c>
      <c r="B28" s="140">
        <f>A28*C28</f>
        <v>1.575</v>
      </c>
      <c r="C28" s="141">
        <v>0.9</v>
      </c>
      <c r="D28" s="140">
        <f>E28*$D$26</f>
        <v>7.84</v>
      </c>
      <c r="E28" s="141">
        <v>1</v>
      </c>
      <c r="F28" s="147">
        <f>F27+((B27-B28)*($F$27-$F$26)/($B$26-$B$27))</f>
        <v>0.76850000000000007</v>
      </c>
      <c r="G28" s="144">
        <f>55*(1-F28)+128*(F28)</f>
        <v>111.10050000000001</v>
      </c>
      <c r="H28" s="121" t="s">
        <v>236</v>
      </c>
      <c r="I28" s="121"/>
      <c r="J28" s="121"/>
      <c r="K28" s="121"/>
      <c r="L28" s="121"/>
      <c r="M28" s="121"/>
      <c r="N28" s="121"/>
      <c r="Y28" s="115"/>
      <c r="Z28" s="116"/>
      <c r="AA28" s="116"/>
      <c r="AB28" s="116"/>
      <c r="AC28" s="116"/>
      <c r="AD28" s="116"/>
      <c r="AE28" s="116"/>
      <c r="AF28" s="116"/>
      <c r="AG28" s="116"/>
      <c r="AH28" s="116"/>
      <c r="AI28" s="116"/>
      <c r="AJ28" s="116"/>
      <c r="AK28" s="116"/>
      <c r="AL28" s="116"/>
      <c r="AM28" s="116"/>
      <c r="AN28" s="116"/>
      <c r="AO28" s="117"/>
    </row>
    <row r="29" spans="1:41" ht="16.5" thickTop="1" thickBot="1">
      <c r="A29" s="146">
        <v>1.5</v>
      </c>
      <c r="B29" s="140">
        <f>A29*C29</f>
        <v>1.35</v>
      </c>
      <c r="C29" s="141">
        <v>0.9</v>
      </c>
      <c r="D29" s="140">
        <f>E29*$D$26</f>
        <v>7.84</v>
      </c>
      <c r="E29" s="141">
        <v>1</v>
      </c>
      <c r="F29" s="147">
        <f>F28+((B28-B29)*($F$27-$F$26)/($B$26-$B$27))</f>
        <v>0.78200000000000003</v>
      </c>
      <c r="G29" s="144">
        <f>55*(1-F29)+128*(F29)</f>
        <v>112.086</v>
      </c>
      <c r="H29" s="133" t="s">
        <v>237</v>
      </c>
      <c r="I29" s="121"/>
      <c r="J29" s="121"/>
      <c r="K29" s="121"/>
      <c r="L29" s="121"/>
      <c r="M29" s="121"/>
      <c r="N29" s="121"/>
      <c r="Y29" s="115"/>
      <c r="Z29" s="116"/>
      <c r="AA29" s="116"/>
      <c r="AB29" s="116"/>
      <c r="AC29" s="116"/>
      <c r="AD29" s="116"/>
      <c r="AE29" s="116"/>
      <c r="AF29" s="116"/>
      <c r="AG29" s="116"/>
      <c r="AH29" s="116"/>
      <c r="AI29" s="116"/>
      <c r="AJ29" s="116"/>
      <c r="AK29" s="116"/>
      <c r="AL29" s="116"/>
      <c r="AM29" s="116"/>
      <c r="AN29" s="116"/>
      <c r="AO29" s="117"/>
    </row>
    <row r="30" spans="1:41" ht="15.75" thickTop="1">
      <c r="A30" s="121"/>
      <c r="B30" s="121"/>
      <c r="C30" s="121"/>
      <c r="D30" s="121"/>
      <c r="E30" s="121"/>
      <c r="F30" s="121"/>
      <c r="G30" s="121"/>
      <c r="H30" s="121" t="s">
        <v>238</v>
      </c>
      <c r="I30" s="121"/>
      <c r="J30" s="121"/>
      <c r="K30" s="121"/>
      <c r="L30" s="121"/>
      <c r="M30" s="121"/>
      <c r="N30" s="121"/>
      <c r="Y30" s="115"/>
      <c r="Z30" s="116"/>
      <c r="AA30" s="116"/>
      <c r="AB30" s="116"/>
      <c r="AC30" s="116"/>
      <c r="AD30" s="116"/>
      <c r="AE30" s="116"/>
      <c r="AF30" s="116"/>
      <c r="AG30" s="116"/>
      <c r="AH30" s="116"/>
      <c r="AI30" s="116"/>
      <c r="AJ30" s="116"/>
      <c r="AK30" s="116"/>
      <c r="AL30" s="116"/>
      <c r="AM30" s="116"/>
      <c r="AN30" s="116"/>
      <c r="AO30" s="117"/>
    </row>
    <row r="31" spans="1:41">
      <c r="A31" s="121"/>
      <c r="B31" s="121"/>
      <c r="C31" s="121"/>
      <c r="D31" s="121"/>
      <c r="E31" s="121"/>
      <c r="F31" s="121"/>
      <c r="G31" s="121"/>
      <c r="H31" s="148" t="s">
        <v>239</v>
      </c>
      <c r="I31" s="121"/>
      <c r="J31" s="121"/>
      <c r="K31" s="121"/>
      <c r="L31" s="121"/>
      <c r="M31" s="121"/>
      <c r="N31" s="121"/>
      <c r="Y31" s="115"/>
      <c r="Z31" s="116"/>
      <c r="AA31" s="116"/>
      <c r="AB31" s="116"/>
      <c r="AC31" s="116"/>
      <c r="AD31" s="116"/>
      <c r="AE31" s="116"/>
      <c r="AF31" s="116"/>
      <c r="AG31" s="116"/>
      <c r="AH31" s="116"/>
      <c r="AI31" s="116"/>
      <c r="AJ31" s="116"/>
      <c r="AK31" s="116"/>
      <c r="AL31" s="116"/>
      <c r="AM31" s="116"/>
      <c r="AN31" s="116"/>
      <c r="AO31" s="117"/>
    </row>
    <row r="32" spans="1:41">
      <c r="A32" s="121"/>
      <c r="B32" s="121"/>
      <c r="C32" s="121"/>
      <c r="D32" s="121"/>
      <c r="E32" s="121"/>
      <c r="F32" s="121"/>
      <c r="G32" s="121"/>
      <c r="H32" s="148"/>
      <c r="I32" s="121"/>
      <c r="J32" s="121"/>
      <c r="K32" s="121"/>
      <c r="L32" s="121"/>
      <c r="M32" s="121"/>
      <c r="N32" s="121"/>
      <c r="Y32" s="115"/>
      <c r="Z32" s="116"/>
      <c r="AA32" s="116"/>
      <c r="AB32" s="116"/>
      <c r="AC32" s="116"/>
      <c r="AD32" s="116"/>
      <c r="AE32" s="116"/>
      <c r="AF32" s="116"/>
      <c r="AG32" s="116"/>
      <c r="AH32" s="116"/>
      <c r="AI32" s="116"/>
      <c r="AJ32" s="116"/>
      <c r="AK32" s="116"/>
      <c r="AL32" s="116"/>
      <c r="AM32" s="116"/>
      <c r="AN32" s="116"/>
      <c r="AO32" s="117"/>
    </row>
    <row r="33" spans="1:41">
      <c r="F33" s="121"/>
      <c r="G33" s="121"/>
      <c r="H33" s="121"/>
      <c r="Y33" s="115"/>
      <c r="Z33" s="116"/>
      <c r="AA33" s="116"/>
      <c r="AB33" s="116"/>
      <c r="AC33" s="116"/>
      <c r="AD33" s="116"/>
      <c r="AE33" s="116"/>
      <c r="AF33" s="116"/>
      <c r="AG33" s="116"/>
      <c r="AH33" s="116"/>
      <c r="AI33" s="116"/>
      <c r="AJ33" s="116"/>
      <c r="AK33" s="116"/>
      <c r="AL33" s="116"/>
      <c r="AM33" s="116"/>
      <c r="AN33" s="116"/>
      <c r="AO33" s="117"/>
    </row>
    <row r="34" spans="1:41">
      <c r="A34" s="152" t="s">
        <v>241</v>
      </c>
      <c r="B34" s="153"/>
      <c r="C34" s="153"/>
      <c r="D34" s="153"/>
      <c r="E34" s="153"/>
      <c r="F34" s="119"/>
      <c r="G34" s="120" t="s">
        <v>211</v>
      </c>
      <c r="H34" s="119"/>
      <c r="I34" s="153"/>
      <c r="J34" s="153"/>
      <c r="K34" s="153"/>
      <c r="Y34" s="115"/>
      <c r="Z34" s="116"/>
      <c r="AA34" s="116"/>
      <c r="AB34" s="116"/>
      <c r="AC34" s="116"/>
      <c r="AD34" s="116"/>
      <c r="AE34" s="116"/>
      <c r="AF34" s="116"/>
      <c r="AG34" s="116"/>
      <c r="AH34" s="116"/>
      <c r="AI34" s="116"/>
      <c r="AJ34" s="116"/>
      <c r="AK34" s="116"/>
      <c r="AL34" s="116"/>
      <c r="AM34" s="116"/>
      <c r="AN34" s="116"/>
      <c r="AO34" s="117"/>
    </row>
    <row r="35" spans="1:41" ht="15.75" customHeight="1">
      <c r="A35" s="121"/>
      <c r="B35" s="121"/>
      <c r="C35" s="121"/>
      <c r="D35" s="121"/>
      <c r="E35" s="121"/>
      <c r="F35" s="121"/>
      <c r="G35" s="121"/>
      <c r="H35" s="121"/>
      <c r="Y35" s="115"/>
      <c r="Z35" s="116"/>
      <c r="AA35" s="116"/>
      <c r="AB35" s="116"/>
      <c r="AC35" s="116"/>
      <c r="AD35" s="116"/>
      <c r="AE35" s="116"/>
      <c r="AF35" s="116"/>
      <c r="AG35" s="116"/>
      <c r="AH35" s="116"/>
      <c r="AI35" s="116"/>
      <c r="AJ35" s="116"/>
      <c r="AK35" s="116"/>
      <c r="AL35" s="116"/>
      <c r="AM35" s="116"/>
      <c r="AN35" s="116"/>
      <c r="AO35" s="117"/>
    </row>
    <row r="36" spans="1:41" ht="15.75" thickBot="1">
      <c r="A36" s="69" t="s">
        <v>641</v>
      </c>
      <c r="Y36" s="115"/>
      <c r="Z36" s="116"/>
      <c r="AA36" s="116"/>
      <c r="AB36" s="116"/>
      <c r="AC36" s="116"/>
      <c r="AD36" s="116"/>
      <c r="AE36" s="116"/>
      <c r="AF36" s="116"/>
      <c r="AG36" s="116"/>
      <c r="AH36" s="116"/>
      <c r="AI36" s="116"/>
      <c r="AJ36" s="116"/>
      <c r="AK36" s="116"/>
      <c r="AL36" s="116"/>
      <c r="AM36" s="116"/>
      <c r="AN36" s="116"/>
      <c r="AO36" s="117"/>
    </row>
    <row r="37" spans="1:41" ht="31.5" thickTop="1" thickBot="1">
      <c r="A37" s="154" t="s">
        <v>242</v>
      </c>
      <c r="B37" s="154" t="s">
        <v>243</v>
      </c>
      <c r="C37" s="154" t="s">
        <v>244</v>
      </c>
      <c r="D37" s="154" t="s">
        <v>245</v>
      </c>
      <c r="E37" s="154" t="s">
        <v>246</v>
      </c>
      <c r="F37" s="155"/>
      <c r="G37" s="156" t="s">
        <v>247</v>
      </c>
      <c r="H37" s="155"/>
      <c r="I37" s="155"/>
      <c r="J37" s="155"/>
      <c r="K37" s="155"/>
      <c r="L37" s="155"/>
      <c r="M37" s="155"/>
      <c r="N37" s="155"/>
      <c r="O37" s="155"/>
      <c r="P37" s="155"/>
      <c r="Q37" s="155"/>
      <c r="R37" s="155"/>
      <c r="S37" s="155"/>
      <c r="T37" s="155"/>
      <c r="Y37" s="115"/>
      <c r="Z37" s="116"/>
      <c r="AA37" s="116"/>
      <c r="AB37" s="116"/>
      <c r="AC37" s="116"/>
      <c r="AD37" s="116"/>
      <c r="AE37" s="116"/>
      <c r="AF37" s="116"/>
      <c r="AG37" s="116"/>
      <c r="AH37" s="116"/>
      <c r="AI37" s="116"/>
      <c r="AJ37" s="116"/>
      <c r="AK37" s="116"/>
      <c r="AL37" s="116"/>
      <c r="AM37" s="116"/>
      <c r="AN37" s="116"/>
      <c r="AO37" s="117"/>
    </row>
    <row r="38" spans="1:41" ht="16.5" thickTop="1" thickBot="1">
      <c r="A38" s="151"/>
      <c r="B38" s="160"/>
      <c r="C38" s="161"/>
      <c r="D38" s="161"/>
      <c r="E38" s="161"/>
      <c r="Y38" s="115"/>
      <c r="Z38" s="116"/>
      <c r="AA38" s="116"/>
      <c r="AB38" s="116"/>
      <c r="AC38" s="116"/>
      <c r="AD38" s="116"/>
      <c r="AE38" s="116"/>
      <c r="AF38" s="116"/>
      <c r="AG38" s="116"/>
      <c r="AH38" s="116"/>
      <c r="AI38" s="116"/>
      <c r="AJ38" s="116"/>
      <c r="AK38" s="116"/>
      <c r="AL38" s="116"/>
      <c r="AM38" s="116"/>
      <c r="AN38" s="116"/>
      <c r="AO38" s="117"/>
    </row>
    <row r="39" spans="1:41" ht="16.5" thickTop="1" thickBot="1">
      <c r="A39" s="151"/>
      <c r="B39" s="160"/>
      <c r="C39" s="161"/>
      <c r="D39" s="161"/>
      <c r="E39" s="161"/>
      <c r="Y39" s="115"/>
      <c r="Z39" s="116"/>
      <c r="AA39" s="116"/>
      <c r="AB39" s="116"/>
      <c r="AC39" s="116"/>
      <c r="AD39" s="116"/>
      <c r="AE39" s="116"/>
      <c r="AF39" s="116"/>
      <c r="AG39" s="116"/>
      <c r="AH39" s="116"/>
      <c r="AI39" s="116"/>
      <c r="AJ39" s="116"/>
      <c r="AK39" s="116"/>
      <c r="AL39" s="116"/>
      <c r="AM39" s="116"/>
      <c r="AN39" s="116"/>
      <c r="AO39" s="117"/>
    </row>
    <row r="40" spans="1:41" ht="16.5" thickTop="1" thickBot="1">
      <c r="A40" s="151"/>
      <c r="B40" s="160"/>
      <c r="C40" s="161"/>
      <c r="D40" s="161"/>
      <c r="E40" s="161"/>
      <c r="Y40" s="115"/>
      <c r="Z40" s="116"/>
      <c r="AA40" s="116"/>
      <c r="AB40" s="116"/>
      <c r="AC40" s="116"/>
      <c r="AD40" s="116"/>
      <c r="AE40" s="116"/>
      <c r="AF40" s="116"/>
      <c r="AG40" s="116"/>
      <c r="AH40" s="116"/>
      <c r="AI40" s="116"/>
      <c r="AJ40" s="116"/>
      <c r="AK40" s="116"/>
      <c r="AL40" s="116"/>
      <c r="AM40" s="116"/>
      <c r="AN40" s="116"/>
      <c r="AO40" s="117"/>
    </row>
    <row r="41" spans="1:41" ht="16.5" thickTop="1" thickBot="1">
      <c r="A41" s="151"/>
      <c r="B41" s="160"/>
      <c r="C41" s="161"/>
      <c r="D41" s="161"/>
      <c r="E41" s="161"/>
      <c r="Y41" s="115"/>
      <c r="Z41" s="116"/>
      <c r="AA41" s="116"/>
      <c r="AB41" s="116"/>
      <c r="AC41" s="116"/>
      <c r="AD41" s="116"/>
      <c r="AE41" s="116"/>
      <c r="AF41" s="116"/>
      <c r="AG41" s="116"/>
      <c r="AH41" s="116"/>
      <c r="AI41" s="116"/>
      <c r="AJ41" s="116"/>
      <c r="AK41" s="116"/>
      <c r="AL41" s="116"/>
      <c r="AM41" s="116"/>
      <c r="AN41" s="116"/>
      <c r="AO41" s="117"/>
    </row>
    <row r="42" spans="1:41" ht="16.5" thickTop="1" thickBot="1">
      <c r="A42" s="151"/>
      <c r="B42" s="160"/>
      <c r="C42" s="162"/>
      <c r="D42" s="162"/>
      <c r="E42" s="162"/>
      <c r="Y42" s="115"/>
      <c r="Z42" s="116"/>
      <c r="AA42" s="116"/>
      <c r="AB42" s="116"/>
      <c r="AC42" s="116"/>
      <c r="AD42" s="116"/>
      <c r="AE42" s="116"/>
      <c r="AF42" s="116"/>
      <c r="AG42" s="116"/>
      <c r="AH42" s="116"/>
      <c r="AI42" s="116"/>
      <c r="AJ42" s="116"/>
      <c r="AK42" s="116"/>
      <c r="AL42" s="116"/>
      <c r="AM42" s="116"/>
      <c r="AN42" s="116"/>
      <c r="AO42" s="117"/>
    </row>
    <row r="43" spans="1:41" ht="16.5" thickTop="1" thickBot="1">
      <c r="A43" s="163" t="s">
        <v>219</v>
      </c>
      <c r="B43" s="164"/>
      <c r="C43" s="165"/>
      <c r="D43" s="166"/>
      <c r="E43" s="167">
        <v>15.33</v>
      </c>
      <c r="F43" s="69" t="s">
        <v>642</v>
      </c>
      <c r="Y43" s="115"/>
      <c r="Z43" s="116"/>
      <c r="AA43" s="116"/>
      <c r="AB43" s="116"/>
      <c r="AC43" s="116"/>
      <c r="AD43" s="116"/>
      <c r="AE43" s="116"/>
      <c r="AF43" s="116"/>
      <c r="AG43" s="116"/>
      <c r="AH43" s="116"/>
      <c r="AI43" s="116"/>
      <c r="AJ43" s="116"/>
      <c r="AK43" s="116"/>
      <c r="AL43" s="116"/>
      <c r="AM43" s="116"/>
      <c r="AN43" s="116"/>
      <c r="AO43" s="117"/>
    </row>
    <row r="44" spans="1:41" ht="15.75" thickTop="1">
      <c r="Y44" s="115"/>
      <c r="Z44" s="116"/>
      <c r="AA44" s="349" t="s">
        <v>240</v>
      </c>
      <c r="AB44" s="349"/>
      <c r="AC44" s="349"/>
      <c r="AD44" s="349"/>
      <c r="AE44" s="349"/>
      <c r="AF44" s="349"/>
      <c r="AG44" s="349"/>
      <c r="AH44" s="349"/>
      <c r="AI44" s="349"/>
      <c r="AJ44" s="349"/>
      <c r="AK44" s="349"/>
      <c r="AL44" s="349"/>
      <c r="AM44" s="116"/>
      <c r="AN44" s="116"/>
      <c r="AO44" s="117"/>
    </row>
    <row r="45" spans="1:41" ht="15" customHeight="1">
      <c r="A45" s="168" t="s">
        <v>249</v>
      </c>
      <c r="Y45" s="115"/>
      <c r="Z45" s="116"/>
      <c r="AA45" s="349"/>
      <c r="AB45" s="349"/>
      <c r="AC45" s="349"/>
      <c r="AD45" s="349"/>
      <c r="AE45" s="349"/>
      <c r="AF45" s="349"/>
      <c r="AG45" s="349"/>
      <c r="AH45" s="349"/>
      <c r="AI45" s="349"/>
      <c r="AJ45" s="349"/>
      <c r="AK45" s="349"/>
      <c r="AL45" s="349"/>
      <c r="AM45" s="116"/>
      <c r="AN45" s="116"/>
      <c r="AO45" s="117"/>
    </row>
    <row r="46" spans="1:41" ht="15.75" thickBot="1">
      <c r="A46" s="69" t="s">
        <v>250</v>
      </c>
      <c r="Y46" s="115"/>
      <c r="Z46" s="116"/>
      <c r="AA46" s="349"/>
      <c r="AB46" s="349"/>
      <c r="AC46" s="349"/>
      <c r="AD46" s="349"/>
      <c r="AE46" s="349"/>
      <c r="AF46" s="349"/>
      <c r="AG46" s="349"/>
      <c r="AH46" s="349"/>
      <c r="AI46" s="349"/>
      <c r="AJ46" s="349"/>
      <c r="AK46" s="349"/>
      <c r="AL46" s="349"/>
      <c r="AM46" s="116"/>
      <c r="AN46" s="116"/>
      <c r="AO46" s="117"/>
    </row>
    <row r="47" spans="1:41" ht="16.5" thickTop="1" thickBot="1">
      <c r="A47" s="351" t="s">
        <v>251</v>
      </c>
      <c r="B47" s="352"/>
      <c r="C47" s="169">
        <f>'WasteWater System Savings'!A5</f>
        <v>3.6841444395749776</v>
      </c>
      <c r="D47" s="69" t="s">
        <v>640</v>
      </c>
      <c r="Y47" s="115"/>
      <c r="Z47" s="116"/>
      <c r="AA47" s="349"/>
      <c r="AB47" s="349"/>
      <c r="AC47" s="349"/>
      <c r="AD47" s="349"/>
      <c r="AE47" s="349"/>
      <c r="AF47" s="349"/>
      <c r="AG47" s="349"/>
      <c r="AH47" s="349"/>
      <c r="AI47" s="349"/>
      <c r="AJ47" s="349"/>
      <c r="AK47" s="349"/>
      <c r="AL47" s="349"/>
      <c r="AM47" s="116"/>
      <c r="AN47" s="116"/>
      <c r="AO47" s="117"/>
    </row>
    <row r="48" spans="1:41" ht="15.75" thickTop="1">
      <c r="D48" s="170" t="s">
        <v>253</v>
      </c>
      <c r="Y48" s="115"/>
      <c r="Z48" s="116"/>
      <c r="AA48" s="116"/>
      <c r="AB48" s="116"/>
      <c r="AC48" s="116"/>
      <c r="AD48" s="116"/>
      <c r="AE48" s="116"/>
      <c r="AF48" s="116"/>
      <c r="AG48" s="116"/>
      <c r="AH48" s="116"/>
      <c r="AI48" s="116"/>
      <c r="AJ48" s="116"/>
      <c r="AK48" s="116"/>
      <c r="AL48" s="116"/>
      <c r="AM48" s="116"/>
      <c r="AN48" s="116"/>
      <c r="AO48" s="117"/>
    </row>
    <row r="49" spans="1:41" ht="15.75" thickBot="1">
      <c r="D49" s="170" t="s">
        <v>254</v>
      </c>
      <c r="Y49" s="138"/>
      <c r="Z49" s="149"/>
      <c r="AA49" s="149"/>
      <c r="AB49" s="149"/>
      <c r="AC49" s="149"/>
      <c r="AD49" s="149"/>
      <c r="AE49" s="149"/>
      <c r="AF49" s="149"/>
      <c r="AG49" s="149"/>
      <c r="AH49" s="149"/>
      <c r="AI49" s="149"/>
      <c r="AJ49" s="149"/>
      <c r="AK49" s="149"/>
      <c r="AL49" s="149"/>
      <c r="AM49" s="149"/>
      <c r="AN49" s="149"/>
      <c r="AO49" s="150"/>
    </row>
    <row r="50" spans="1:41" ht="15.75" thickBot="1">
      <c r="D50" s="170" t="s">
        <v>255</v>
      </c>
    </row>
    <row r="51" spans="1:41">
      <c r="D51" s="69" t="s">
        <v>256</v>
      </c>
      <c r="Y51" s="112"/>
      <c r="Z51" s="113"/>
      <c r="AA51" s="113"/>
      <c r="AB51" s="113"/>
      <c r="AC51" s="113"/>
      <c r="AD51" s="113"/>
      <c r="AE51" s="113"/>
      <c r="AF51" s="113"/>
      <c r="AG51" s="113"/>
      <c r="AH51" s="113"/>
      <c r="AI51" s="113"/>
      <c r="AJ51" s="113"/>
      <c r="AK51" s="113"/>
      <c r="AL51" s="113"/>
      <c r="AM51" s="113"/>
      <c r="AN51" s="113"/>
      <c r="AO51" s="114"/>
    </row>
    <row r="52" spans="1:41">
      <c r="Y52" s="115"/>
      <c r="Z52" s="116"/>
      <c r="AA52" s="116"/>
      <c r="AB52" s="116"/>
      <c r="AC52" s="116"/>
      <c r="AD52" s="116"/>
      <c r="AE52" s="116"/>
      <c r="AF52" s="116"/>
      <c r="AG52" s="116"/>
      <c r="AH52" s="116"/>
      <c r="AI52" s="116"/>
      <c r="AJ52" s="116"/>
      <c r="AK52" s="116"/>
      <c r="AL52" s="116"/>
      <c r="AM52" s="116"/>
      <c r="AN52" s="116"/>
      <c r="AO52" s="117"/>
    </row>
    <row r="53" spans="1:41">
      <c r="A53" s="152" t="s">
        <v>208</v>
      </c>
      <c r="B53" s="153"/>
      <c r="C53" s="153"/>
      <c r="D53" s="153"/>
      <c r="E53" s="153"/>
      <c r="F53" s="119"/>
      <c r="G53" s="120" t="s">
        <v>211</v>
      </c>
      <c r="H53" s="119"/>
      <c r="I53" s="153"/>
      <c r="J53" s="153"/>
      <c r="K53" s="153"/>
      <c r="Y53" s="115"/>
      <c r="Z53" s="116"/>
      <c r="AA53" s="116"/>
      <c r="AB53" s="116"/>
      <c r="AC53" s="116"/>
      <c r="AD53" s="116"/>
      <c r="AE53" s="116"/>
      <c r="AF53" s="116"/>
      <c r="AG53" s="116"/>
      <c r="AH53" s="116"/>
      <c r="AI53" s="116"/>
      <c r="AJ53" s="116"/>
      <c r="AK53" s="116"/>
      <c r="AL53" s="116"/>
      <c r="AM53" s="116"/>
      <c r="AN53" s="116"/>
      <c r="AO53" s="117"/>
    </row>
    <row r="54" spans="1:41" ht="15.75" thickBot="1">
      <c r="Y54" s="115"/>
      <c r="Z54" s="116"/>
      <c r="AA54" s="116"/>
      <c r="AB54" s="116"/>
      <c r="AC54" s="116"/>
      <c r="AD54" s="116"/>
      <c r="AE54" s="116"/>
      <c r="AF54" s="116"/>
      <c r="AG54" s="116"/>
      <c r="AH54" s="116"/>
      <c r="AI54" s="116"/>
      <c r="AJ54" s="116"/>
      <c r="AK54" s="116"/>
      <c r="AL54" s="116"/>
      <c r="AM54" s="116"/>
      <c r="AN54" s="116"/>
      <c r="AO54" s="117"/>
    </row>
    <row r="55" spans="1:41" ht="16.5" thickTop="1" thickBot="1">
      <c r="A55" s="347" t="s">
        <v>257</v>
      </c>
      <c r="B55" s="348"/>
      <c r="C55" s="171">
        <f>24*J55</f>
        <v>25.872</v>
      </c>
      <c r="D55" s="69" t="s">
        <v>350</v>
      </c>
      <c r="J55" s="69">
        <v>1.0780000000000001</v>
      </c>
      <c r="Y55" s="115"/>
      <c r="Z55" s="116"/>
      <c r="AA55" s="116"/>
      <c r="AB55" s="116"/>
      <c r="AC55" s="116"/>
      <c r="AD55" s="116"/>
      <c r="AE55" s="116"/>
      <c r="AF55" s="116"/>
      <c r="AG55" s="116"/>
      <c r="AH55" s="116"/>
      <c r="AI55" s="116"/>
      <c r="AJ55" s="116"/>
      <c r="AK55" s="116"/>
      <c r="AL55" s="116"/>
      <c r="AM55" s="116"/>
      <c r="AN55" s="116"/>
      <c r="AO55" s="117"/>
    </row>
    <row r="56" spans="1:41" ht="16.5" thickTop="1" thickBot="1">
      <c r="A56" s="347" t="s">
        <v>258</v>
      </c>
      <c r="B56" s="348"/>
      <c r="C56" s="171">
        <f>C58+(1/3)*20</f>
        <v>6.6666666666666661</v>
      </c>
      <c r="D56" s="69" t="s">
        <v>259</v>
      </c>
      <c r="Y56" s="115"/>
      <c r="Z56" s="116"/>
      <c r="AA56" s="116"/>
      <c r="AB56" s="116"/>
      <c r="AC56" s="116"/>
      <c r="AD56" s="116"/>
      <c r="AE56" s="116"/>
      <c r="AF56" s="116"/>
      <c r="AG56" s="116"/>
      <c r="AH56" s="116"/>
      <c r="AI56" s="116"/>
      <c r="AJ56" s="116"/>
      <c r="AK56" s="116"/>
      <c r="AL56" s="116"/>
      <c r="AM56" s="116"/>
      <c r="AN56" s="116"/>
      <c r="AO56" s="117"/>
    </row>
    <row r="57" spans="1:41" ht="16.5" thickTop="1" thickBot="1">
      <c r="A57" s="347" t="s">
        <v>260</v>
      </c>
      <c r="B57" s="348"/>
      <c r="C57" s="171">
        <v>17.329999999999998</v>
      </c>
      <c r="D57" s="69" t="s">
        <v>261</v>
      </c>
      <c r="Y57" s="115"/>
      <c r="Z57" s="116"/>
      <c r="AA57" s="116"/>
      <c r="AB57" s="116"/>
      <c r="AC57" s="116"/>
      <c r="AD57" s="116"/>
      <c r="AE57" s="116"/>
      <c r="AF57" s="116"/>
      <c r="AG57" s="116"/>
      <c r="AH57" s="116"/>
      <c r="AI57" s="116"/>
      <c r="AJ57" s="116"/>
      <c r="AK57" s="116"/>
      <c r="AL57" s="116"/>
      <c r="AM57" s="116"/>
      <c r="AN57" s="116"/>
      <c r="AO57" s="117"/>
    </row>
    <row r="58" spans="1:41" ht="16.5" thickTop="1" thickBot="1">
      <c r="A58" s="347"/>
      <c r="B58" s="348"/>
      <c r="C58" s="171"/>
      <c r="Y58" s="115"/>
      <c r="Z58" s="116"/>
      <c r="AA58" s="116"/>
      <c r="AB58" s="116"/>
      <c r="AC58" s="116"/>
      <c r="AD58" s="116"/>
      <c r="AE58" s="116"/>
      <c r="AF58" s="116"/>
      <c r="AG58" s="116"/>
      <c r="AH58" s="116"/>
      <c r="AI58" s="116"/>
      <c r="AJ58" s="116"/>
      <c r="AK58" s="116"/>
      <c r="AL58" s="116"/>
      <c r="AM58" s="116"/>
      <c r="AN58" s="116"/>
      <c r="AO58" s="117"/>
    </row>
    <row r="59" spans="1:41" ht="16.5" thickTop="1" thickBot="1">
      <c r="A59" s="316"/>
      <c r="B59" s="317"/>
      <c r="C59" s="171"/>
      <c r="Y59" s="115"/>
      <c r="Z59" s="116"/>
      <c r="AA59" s="116"/>
      <c r="AB59" s="116"/>
      <c r="AC59" s="116"/>
      <c r="AD59" s="116"/>
      <c r="AE59" s="116"/>
      <c r="AF59" s="116"/>
      <c r="AG59" s="116"/>
      <c r="AH59" s="116"/>
      <c r="AI59" s="116"/>
      <c r="AJ59" s="116"/>
      <c r="AK59" s="116"/>
      <c r="AL59" s="116"/>
      <c r="AM59" s="116"/>
      <c r="AN59" s="116"/>
      <c r="AO59" s="117"/>
    </row>
    <row r="60" spans="1:41" ht="15.75" thickTop="1">
      <c r="D60" s="69" t="s">
        <v>262</v>
      </c>
      <c r="Y60" s="115"/>
      <c r="Z60" s="116"/>
      <c r="AA60" s="116"/>
      <c r="AB60" s="116"/>
      <c r="AC60" s="116"/>
      <c r="AD60" s="116"/>
      <c r="AE60" s="116"/>
      <c r="AF60" s="116"/>
      <c r="AG60" s="116"/>
      <c r="AH60" s="116"/>
      <c r="AI60" s="116"/>
      <c r="AJ60" s="116"/>
      <c r="AK60" s="116"/>
      <c r="AL60" s="116"/>
      <c r="AM60" s="116"/>
      <c r="AN60" s="116"/>
      <c r="AO60" s="117"/>
    </row>
    <row r="61" spans="1:41">
      <c r="Y61" s="115"/>
      <c r="Z61" s="116"/>
      <c r="AA61" s="116"/>
      <c r="AB61" s="116"/>
      <c r="AC61" s="116"/>
      <c r="AD61" s="116"/>
      <c r="AE61" s="116"/>
      <c r="AF61" s="116"/>
      <c r="AG61" s="116"/>
      <c r="AH61" s="116"/>
      <c r="AI61" s="116"/>
      <c r="AJ61" s="116"/>
      <c r="AK61" s="116"/>
      <c r="AL61" s="116"/>
      <c r="AM61" s="116"/>
      <c r="AN61" s="116"/>
      <c r="AO61" s="117"/>
    </row>
    <row r="62" spans="1:41">
      <c r="A62" s="152" t="s">
        <v>209</v>
      </c>
      <c r="B62" s="153"/>
      <c r="C62" s="153"/>
      <c r="D62" s="153"/>
      <c r="E62" s="153"/>
      <c r="F62" s="119"/>
      <c r="G62" s="120" t="s">
        <v>211</v>
      </c>
      <c r="H62" s="119"/>
      <c r="I62" s="153"/>
      <c r="J62" s="153"/>
      <c r="K62" s="153"/>
      <c r="Y62" s="115"/>
      <c r="Z62" s="116"/>
      <c r="AA62" s="116"/>
      <c r="AB62" s="116"/>
      <c r="AC62" s="116"/>
      <c r="AD62" s="116"/>
      <c r="AE62" s="116"/>
      <c r="AF62" s="116"/>
      <c r="AG62" s="116"/>
      <c r="AH62" s="116"/>
      <c r="AI62" s="116"/>
      <c r="AJ62" s="116"/>
      <c r="AK62" s="116"/>
      <c r="AL62" s="116"/>
      <c r="AM62" s="116"/>
      <c r="AN62" s="116"/>
      <c r="AO62" s="117"/>
    </row>
    <row r="63" spans="1:41">
      <c r="Y63" s="115"/>
      <c r="Z63" s="116"/>
      <c r="AA63" s="116"/>
      <c r="AB63" s="116"/>
      <c r="AC63" s="116"/>
      <c r="AD63" s="116"/>
      <c r="AE63" s="116"/>
      <c r="AF63" s="116"/>
      <c r="AG63" s="116"/>
      <c r="AH63" s="116"/>
      <c r="AI63" s="116"/>
      <c r="AJ63" s="116"/>
      <c r="AK63" s="116"/>
      <c r="AL63" s="116"/>
      <c r="AM63" s="116"/>
      <c r="AN63" s="116"/>
      <c r="AO63" s="117"/>
    </row>
    <row r="64" spans="1:41" ht="15.75" thickBot="1">
      <c r="Y64" s="115"/>
      <c r="Z64" s="116"/>
      <c r="AA64" s="116"/>
      <c r="AB64" s="116"/>
      <c r="AC64" s="116"/>
      <c r="AD64" s="116"/>
      <c r="AE64" s="116"/>
      <c r="AF64" s="116"/>
      <c r="AG64" s="116"/>
      <c r="AH64" s="116"/>
      <c r="AI64" s="116"/>
      <c r="AJ64" s="116"/>
      <c r="AK64" s="116"/>
      <c r="AL64" s="116"/>
      <c r="AM64" s="116"/>
      <c r="AN64" s="116"/>
      <c r="AO64" s="117"/>
    </row>
    <row r="65" spans="1:41" ht="31.5" thickTop="1" thickBot="1">
      <c r="A65" s="350"/>
      <c r="B65" s="350"/>
      <c r="C65" s="350"/>
      <c r="D65" s="68" t="s">
        <v>160</v>
      </c>
      <c r="E65" s="68" t="s">
        <v>161</v>
      </c>
      <c r="F65" s="68" t="s">
        <v>162</v>
      </c>
      <c r="Y65" s="115"/>
      <c r="Z65" s="116"/>
      <c r="AA65" s="116"/>
      <c r="AB65" s="116"/>
      <c r="AC65" s="116"/>
      <c r="AD65" s="116"/>
      <c r="AE65" s="116"/>
      <c r="AF65" s="116"/>
      <c r="AG65" s="116"/>
      <c r="AH65" s="116"/>
      <c r="AI65" s="116"/>
      <c r="AJ65" s="116"/>
      <c r="AK65" s="116"/>
      <c r="AL65" s="116"/>
      <c r="AM65" s="116"/>
      <c r="AN65" s="116"/>
      <c r="AO65" s="117"/>
    </row>
    <row r="66" spans="1:41" ht="16.5" thickTop="1" thickBot="1">
      <c r="A66" s="70" t="s">
        <v>163</v>
      </c>
      <c r="B66" s="71"/>
      <c r="C66" s="72"/>
      <c r="D66" s="73">
        <v>0.8</v>
      </c>
      <c r="E66" s="73">
        <v>0.75</v>
      </c>
      <c r="F66" s="73">
        <v>0.7</v>
      </c>
      <c r="H66" s="69" t="s">
        <v>164</v>
      </c>
      <c r="Y66" s="115"/>
      <c r="Z66" s="116"/>
      <c r="AA66" s="116"/>
      <c r="AB66" s="116"/>
      <c r="AC66" s="116"/>
      <c r="AD66" s="116"/>
      <c r="AE66" s="116"/>
      <c r="AF66" s="116"/>
      <c r="AG66" s="116"/>
      <c r="AH66" s="116"/>
      <c r="AI66" s="116"/>
      <c r="AJ66" s="116"/>
      <c r="AK66" s="116"/>
      <c r="AL66" s="116"/>
      <c r="AM66" s="116"/>
      <c r="AN66" s="116"/>
      <c r="AO66" s="117"/>
    </row>
    <row r="67" spans="1:41" ht="16.5" thickTop="1" thickBot="1">
      <c r="A67" s="70" t="s">
        <v>165</v>
      </c>
      <c r="B67" s="71"/>
      <c r="C67" s="72"/>
      <c r="D67" s="73">
        <v>0.76</v>
      </c>
      <c r="E67" s="73">
        <v>0.76</v>
      </c>
      <c r="F67" s="73">
        <v>0.76</v>
      </c>
      <c r="H67" s="69" t="s">
        <v>166</v>
      </c>
      <c r="Y67" s="115"/>
      <c r="Z67" s="116"/>
      <c r="AA67" s="116"/>
      <c r="AB67" s="116"/>
      <c r="AC67" s="116"/>
      <c r="AD67" s="116"/>
      <c r="AE67" s="116"/>
      <c r="AF67" s="116"/>
      <c r="AG67" s="116"/>
      <c r="AH67" s="116"/>
      <c r="AI67" s="116"/>
      <c r="AJ67" s="116"/>
      <c r="AK67" s="116"/>
      <c r="AL67" s="116"/>
      <c r="AM67" s="116"/>
      <c r="AN67" s="116"/>
      <c r="AO67" s="117"/>
    </row>
    <row r="68" spans="1:41" ht="16.5" thickTop="1" thickBot="1">
      <c r="A68" s="70" t="s">
        <v>167</v>
      </c>
      <c r="B68" s="71"/>
      <c r="C68" s="72"/>
      <c r="D68" s="73">
        <v>0.9</v>
      </c>
      <c r="E68" s="73">
        <v>0.9</v>
      </c>
      <c r="F68" s="73">
        <v>0.9</v>
      </c>
      <c r="H68" s="69" t="s">
        <v>168</v>
      </c>
      <c r="I68" s="74"/>
      <c r="J68" s="74"/>
      <c r="K68" s="74"/>
      <c r="L68" s="74"/>
      <c r="M68" s="74"/>
      <c r="N68" s="74"/>
      <c r="O68" s="74"/>
      <c r="P68" s="74"/>
      <c r="Q68" s="74"/>
      <c r="R68" s="74"/>
      <c r="S68" s="74"/>
      <c r="T68" s="74"/>
      <c r="Y68" s="115"/>
      <c r="Z68" s="116"/>
      <c r="AA68" s="116"/>
      <c r="AB68" s="116"/>
      <c r="AC68" s="116"/>
      <c r="AD68" s="116"/>
      <c r="AE68" s="116"/>
      <c r="AF68" s="116"/>
      <c r="AG68" s="116"/>
      <c r="AH68" s="116"/>
      <c r="AI68" s="116"/>
      <c r="AJ68" s="116"/>
      <c r="AK68" s="116"/>
      <c r="AL68" s="116"/>
      <c r="AM68" s="116"/>
      <c r="AN68" s="116"/>
      <c r="AO68" s="117"/>
    </row>
    <row r="69" spans="1:41" ht="16.5" thickTop="1" thickBot="1">
      <c r="A69" s="70"/>
      <c r="B69" s="71"/>
      <c r="C69" s="72"/>
      <c r="D69" s="73"/>
      <c r="E69" s="73"/>
      <c r="F69" s="73"/>
      <c r="H69" s="74"/>
      <c r="I69" s="74"/>
      <c r="J69" s="74"/>
      <c r="K69" s="74"/>
      <c r="L69" s="74"/>
      <c r="M69" s="74"/>
      <c r="N69" s="74"/>
      <c r="O69" s="74"/>
      <c r="P69" s="74"/>
      <c r="Q69" s="74"/>
      <c r="R69" s="74"/>
      <c r="S69" s="74"/>
      <c r="T69" s="74"/>
      <c r="Y69" s="115"/>
      <c r="Z69" s="116"/>
      <c r="AA69" s="116"/>
      <c r="AB69" s="116"/>
      <c r="AC69" s="116"/>
      <c r="AD69" s="116"/>
      <c r="AE69" s="116"/>
      <c r="AF69" s="116"/>
      <c r="AG69" s="116"/>
      <c r="AH69" s="116"/>
      <c r="AI69" s="116"/>
      <c r="AJ69" s="116"/>
      <c r="AK69" s="116"/>
      <c r="AL69" s="116"/>
      <c r="AM69" s="116"/>
      <c r="AN69" s="116"/>
      <c r="AO69" s="117"/>
    </row>
    <row r="70" spans="1:41" ht="16.5" thickTop="1" thickBot="1">
      <c r="A70" s="70"/>
      <c r="B70" s="71"/>
      <c r="C70" s="72"/>
      <c r="D70" s="73"/>
      <c r="E70" s="73"/>
      <c r="F70" s="73"/>
      <c r="Y70" s="115"/>
      <c r="Z70" s="116"/>
      <c r="AA70" s="116"/>
      <c r="AB70" s="116"/>
      <c r="AC70" s="116"/>
      <c r="AD70" s="116"/>
      <c r="AE70" s="116"/>
      <c r="AF70" s="116"/>
      <c r="AG70" s="116"/>
      <c r="AH70" s="116"/>
      <c r="AI70" s="116"/>
      <c r="AJ70" s="116"/>
      <c r="AK70" s="116"/>
      <c r="AL70" s="116"/>
      <c r="AM70" s="116"/>
      <c r="AN70" s="116"/>
      <c r="AO70" s="117"/>
    </row>
    <row r="71" spans="1:41" ht="16.5" thickTop="1" thickBot="1">
      <c r="A71" s="70"/>
      <c r="B71" s="71"/>
      <c r="C71" s="72"/>
      <c r="D71" s="73"/>
      <c r="E71" s="73"/>
      <c r="F71" s="73"/>
      <c r="Y71" s="115"/>
      <c r="Z71" s="116"/>
      <c r="AA71" s="116"/>
      <c r="AB71" s="116"/>
      <c r="AC71" s="116"/>
      <c r="AD71" s="116"/>
      <c r="AE71" s="116"/>
      <c r="AF71" s="116"/>
      <c r="AG71" s="116"/>
      <c r="AH71" s="116"/>
      <c r="AI71" s="116"/>
      <c r="AJ71" s="116"/>
      <c r="AK71" s="116"/>
      <c r="AL71" s="116"/>
      <c r="AM71" s="116"/>
      <c r="AN71" s="116"/>
      <c r="AO71" s="117"/>
    </row>
    <row r="72" spans="1:41" ht="15.75" thickTop="1">
      <c r="Y72" s="115"/>
      <c r="Z72" s="116"/>
      <c r="AA72" s="116"/>
      <c r="AB72" s="116"/>
      <c r="AC72" s="116"/>
      <c r="AD72" s="116"/>
      <c r="AE72" s="116"/>
      <c r="AF72" s="116"/>
      <c r="AG72" s="116"/>
      <c r="AH72" s="116"/>
      <c r="AI72" s="116"/>
      <c r="AJ72" s="116"/>
      <c r="AK72" s="116"/>
      <c r="AL72" s="116"/>
      <c r="AM72" s="116"/>
      <c r="AN72" s="116"/>
      <c r="AO72" s="117"/>
    </row>
    <row r="73" spans="1:41">
      <c r="Y73" s="115"/>
      <c r="Z73" s="116"/>
      <c r="AA73" s="116"/>
      <c r="AB73" s="116"/>
      <c r="AC73" s="116"/>
      <c r="AD73" s="116"/>
      <c r="AE73" s="116"/>
      <c r="AF73" s="116"/>
      <c r="AG73" s="116"/>
      <c r="AH73" s="116"/>
      <c r="AI73" s="116"/>
      <c r="AJ73" s="116"/>
      <c r="AK73" s="116"/>
      <c r="AL73" s="116"/>
      <c r="AM73" s="116"/>
      <c r="AN73" s="116"/>
      <c r="AO73" s="117"/>
    </row>
    <row r="74" spans="1:41">
      <c r="Y74" s="115"/>
      <c r="Z74" s="116"/>
      <c r="AA74" s="116"/>
      <c r="AB74" s="116"/>
      <c r="AC74" s="116"/>
      <c r="AD74" s="116"/>
      <c r="AE74" s="116"/>
      <c r="AF74" s="116"/>
      <c r="AG74" s="116"/>
      <c r="AH74" s="116"/>
      <c r="AI74" s="116"/>
      <c r="AJ74" s="116"/>
      <c r="AK74" s="116"/>
      <c r="AL74" s="116"/>
      <c r="AM74" s="116"/>
      <c r="AN74" s="116"/>
      <c r="AO74" s="117"/>
    </row>
    <row r="75" spans="1:41">
      <c r="Y75" s="115"/>
      <c r="Z75" s="116"/>
      <c r="AA75" s="116"/>
      <c r="AB75" s="116"/>
      <c r="AC75" s="116"/>
      <c r="AD75" s="116"/>
      <c r="AE75" s="116"/>
      <c r="AF75" s="116"/>
      <c r="AG75" s="116"/>
      <c r="AH75" s="116"/>
      <c r="AI75" s="116"/>
      <c r="AJ75" s="116"/>
      <c r="AK75" s="116"/>
      <c r="AL75" s="116"/>
      <c r="AM75" s="116"/>
      <c r="AN75" s="116"/>
      <c r="AO75" s="117"/>
    </row>
    <row r="76" spans="1:41">
      <c r="Y76" s="115"/>
      <c r="Z76" s="116"/>
      <c r="AA76" s="116"/>
      <c r="AB76" s="116"/>
      <c r="AC76" s="116"/>
      <c r="AD76" s="116"/>
      <c r="AE76" s="116"/>
      <c r="AF76" s="116"/>
      <c r="AG76" s="116"/>
      <c r="AH76" s="116"/>
      <c r="AI76" s="116"/>
      <c r="AJ76" s="116"/>
      <c r="AK76" s="116"/>
      <c r="AL76" s="116"/>
      <c r="AM76" s="116"/>
      <c r="AN76" s="116"/>
      <c r="AO76" s="117"/>
    </row>
    <row r="77" spans="1:41">
      <c r="Y77" s="115"/>
      <c r="Z77" s="116"/>
      <c r="AA77" s="116"/>
      <c r="AB77" s="116"/>
      <c r="AC77" s="116"/>
      <c r="AD77" s="116"/>
      <c r="AE77" s="116"/>
      <c r="AF77" s="116"/>
      <c r="AG77" s="116"/>
      <c r="AH77" s="116"/>
      <c r="AI77" s="116"/>
      <c r="AJ77" s="116"/>
      <c r="AK77" s="116"/>
      <c r="AL77" s="116"/>
      <c r="AM77" s="116"/>
      <c r="AN77" s="116"/>
      <c r="AO77" s="117"/>
    </row>
    <row r="78" spans="1:41" ht="16.5" customHeight="1">
      <c r="Y78" s="115"/>
      <c r="Z78" s="116"/>
      <c r="AA78" s="116"/>
      <c r="AB78" s="116"/>
      <c r="AC78" s="116"/>
      <c r="AD78" s="116"/>
      <c r="AE78" s="116"/>
      <c r="AF78" s="116"/>
      <c r="AG78" s="116"/>
      <c r="AH78" s="116"/>
      <c r="AI78" s="116"/>
      <c r="AJ78" s="116"/>
      <c r="AK78" s="116"/>
      <c r="AL78" s="116"/>
      <c r="AM78" s="116"/>
      <c r="AN78" s="116"/>
      <c r="AO78" s="117"/>
    </row>
    <row r="79" spans="1:41">
      <c r="Y79" s="115"/>
      <c r="Z79" s="116"/>
      <c r="AA79" s="116"/>
      <c r="AB79" s="116"/>
      <c r="AC79" s="116"/>
      <c r="AD79" s="116"/>
      <c r="AE79" s="116"/>
      <c r="AF79" s="116"/>
      <c r="AG79" s="116"/>
      <c r="AH79" s="116"/>
      <c r="AI79" s="116"/>
      <c r="AJ79" s="116"/>
      <c r="AK79" s="116"/>
      <c r="AL79" s="116"/>
      <c r="AM79" s="116"/>
      <c r="AN79" s="116"/>
      <c r="AO79" s="117"/>
    </row>
    <row r="80" spans="1:41" ht="31.5" customHeight="1">
      <c r="Y80" s="115"/>
      <c r="Z80" s="116"/>
      <c r="AA80" s="116"/>
      <c r="AB80" s="116"/>
      <c r="AC80" s="116"/>
      <c r="AD80" s="116"/>
      <c r="AE80" s="116"/>
      <c r="AF80" s="116"/>
      <c r="AG80" s="116"/>
      <c r="AH80" s="116"/>
      <c r="AI80" s="116"/>
      <c r="AJ80" s="116"/>
      <c r="AK80" s="116"/>
      <c r="AL80" s="116"/>
      <c r="AM80" s="116"/>
      <c r="AN80" s="116"/>
      <c r="AO80" s="117"/>
    </row>
    <row r="81" spans="1:41" ht="30" customHeight="1">
      <c r="Y81" s="115"/>
      <c r="Z81" s="116"/>
      <c r="AA81" s="116"/>
      <c r="AB81" s="116"/>
      <c r="AC81" s="116"/>
      <c r="AD81" s="116"/>
      <c r="AE81" s="116"/>
      <c r="AF81" s="116"/>
      <c r="AG81" s="116"/>
      <c r="AH81" s="116"/>
      <c r="AI81" s="116"/>
      <c r="AJ81" s="116"/>
      <c r="AK81" s="116"/>
      <c r="AL81" s="116"/>
      <c r="AM81" s="116"/>
      <c r="AN81" s="116"/>
      <c r="AO81" s="117"/>
    </row>
    <row r="82" spans="1:41">
      <c r="Y82" s="115"/>
      <c r="Z82" s="116"/>
      <c r="AA82" s="116"/>
      <c r="AB82" s="116"/>
      <c r="AC82" s="116"/>
      <c r="AD82" s="116"/>
      <c r="AE82" s="116"/>
      <c r="AF82" s="116"/>
      <c r="AG82" s="116"/>
      <c r="AH82" s="116"/>
      <c r="AI82" s="116"/>
      <c r="AJ82" s="116"/>
      <c r="AK82" s="116"/>
      <c r="AL82" s="116"/>
      <c r="AM82" s="116"/>
      <c r="AN82" s="116"/>
      <c r="AO82" s="117"/>
    </row>
    <row r="83" spans="1:41" ht="13.5" customHeight="1">
      <c r="Y83" s="115"/>
      <c r="Z83" s="116"/>
      <c r="AA83" s="116"/>
      <c r="AB83" s="116"/>
      <c r="AC83" s="116"/>
      <c r="AD83" s="116"/>
      <c r="AE83" s="116"/>
      <c r="AF83" s="116"/>
      <c r="AG83" s="116"/>
      <c r="AH83" s="116"/>
      <c r="AI83" s="116"/>
      <c r="AJ83" s="116"/>
      <c r="AK83" s="116"/>
      <c r="AL83" s="116"/>
      <c r="AM83" s="116"/>
      <c r="AN83" s="116"/>
      <c r="AO83" s="117"/>
    </row>
    <row r="84" spans="1:41">
      <c r="Y84" s="115"/>
      <c r="Z84" s="116"/>
      <c r="AA84" s="116"/>
      <c r="AB84" s="116"/>
      <c r="AC84" s="116"/>
      <c r="AD84" s="116"/>
      <c r="AE84" s="116"/>
      <c r="AF84" s="116"/>
      <c r="AG84" s="116"/>
      <c r="AH84" s="116"/>
      <c r="AI84" s="116"/>
      <c r="AJ84" s="116"/>
      <c r="AK84" s="116"/>
      <c r="AL84" s="116"/>
      <c r="AM84" s="116"/>
      <c r="AN84" s="116"/>
      <c r="AO84" s="117"/>
    </row>
    <row r="85" spans="1:41">
      <c r="Y85" s="115"/>
      <c r="Z85" s="116"/>
      <c r="AA85" s="116"/>
      <c r="AB85" s="116"/>
      <c r="AC85" s="116"/>
      <c r="AD85" s="116"/>
      <c r="AE85" s="116"/>
      <c r="AF85" s="116"/>
      <c r="AG85" s="116"/>
      <c r="AH85" s="116"/>
      <c r="AI85" s="116"/>
      <c r="AJ85" s="116"/>
      <c r="AK85" s="116"/>
      <c r="AL85" s="116"/>
      <c r="AM85" s="116"/>
      <c r="AN85" s="116"/>
      <c r="AO85" s="117"/>
    </row>
    <row r="86" spans="1:41">
      <c r="Y86" s="115"/>
      <c r="Z86" s="116"/>
      <c r="AA86" s="116"/>
      <c r="AB86" s="116"/>
      <c r="AC86" s="116"/>
      <c r="AD86" s="116"/>
      <c r="AE86" s="116"/>
      <c r="AF86" s="116"/>
      <c r="AG86" s="116"/>
      <c r="AH86" s="116"/>
      <c r="AI86" s="116"/>
      <c r="AJ86" s="116"/>
      <c r="AK86" s="116"/>
      <c r="AL86" s="116"/>
      <c r="AM86" s="116"/>
      <c r="AN86" s="116"/>
      <c r="AO86" s="117"/>
    </row>
    <row r="87" spans="1:41">
      <c r="Y87" s="115"/>
      <c r="Z87" s="116"/>
      <c r="AA87" s="116"/>
      <c r="AB87" s="116"/>
      <c r="AC87" s="116"/>
      <c r="AD87" s="116"/>
      <c r="AE87" s="116"/>
      <c r="AF87" s="116"/>
      <c r="AG87" s="116"/>
      <c r="AH87" s="116"/>
      <c r="AI87" s="116"/>
      <c r="AJ87" s="116"/>
      <c r="AK87" s="116"/>
      <c r="AL87" s="116"/>
      <c r="AM87" s="116"/>
      <c r="AN87" s="116"/>
      <c r="AO87" s="117"/>
    </row>
    <row r="88" spans="1:41">
      <c r="Y88" s="115"/>
      <c r="Z88" s="116"/>
      <c r="AA88" s="116"/>
      <c r="AB88" s="116"/>
      <c r="AC88" s="116"/>
      <c r="AD88" s="116"/>
      <c r="AE88" s="116"/>
      <c r="AF88" s="116"/>
      <c r="AG88" s="116"/>
      <c r="AH88" s="116"/>
      <c r="AI88" s="116"/>
      <c r="AJ88" s="116"/>
      <c r="AK88" s="116"/>
      <c r="AL88" s="116"/>
      <c r="AM88" s="116"/>
      <c r="AN88" s="116"/>
      <c r="AO88" s="117"/>
    </row>
    <row r="89" spans="1:41">
      <c r="Y89" s="115"/>
      <c r="Z89" s="116"/>
      <c r="AA89" s="116"/>
      <c r="AB89" s="116"/>
      <c r="AC89" s="116"/>
      <c r="AD89" s="116"/>
      <c r="AE89" s="116"/>
      <c r="AF89" s="116"/>
      <c r="AG89" s="116"/>
      <c r="AH89" s="116"/>
      <c r="AI89" s="116"/>
      <c r="AJ89" s="116"/>
      <c r="AK89" s="116"/>
      <c r="AL89" s="116"/>
      <c r="AM89" s="116"/>
      <c r="AN89" s="116"/>
      <c r="AO89" s="117"/>
    </row>
    <row r="90" spans="1:41">
      <c r="Y90" s="115"/>
      <c r="Z90" s="116"/>
      <c r="AA90" s="116"/>
      <c r="AB90" s="116"/>
      <c r="AC90" s="116"/>
      <c r="AD90" s="116"/>
      <c r="AE90" s="116"/>
      <c r="AF90" s="116"/>
      <c r="AG90" s="116"/>
      <c r="AH90" s="116"/>
      <c r="AI90" s="116"/>
      <c r="AJ90" s="116"/>
      <c r="AK90" s="116"/>
      <c r="AL90" s="116"/>
      <c r="AM90" s="116"/>
      <c r="AN90" s="116"/>
      <c r="AO90" s="117"/>
    </row>
    <row r="91" spans="1:41">
      <c r="Y91" s="115"/>
      <c r="Z91" s="116"/>
      <c r="AA91" s="116"/>
      <c r="AB91" s="116"/>
      <c r="AC91" s="116"/>
      <c r="AD91" s="116"/>
      <c r="AE91" s="116"/>
      <c r="AF91" s="116"/>
      <c r="AG91" s="116"/>
      <c r="AH91" s="116"/>
      <c r="AI91" s="116"/>
      <c r="AJ91" s="116"/>
      <c r="AK91" s="116"/>
      <c r="AL91" s="116"/>
      <c r="AM91" s="116"/>
      <c r="AN91" s="116"/>
      <c r="AO91" s="117"/>
    </row>
    <row r="92" spans="1:41">
      <c r="Y92" s="115"/>
      <c r="Z92" s="116"/>
      <c r="AA92" s="116"/>
      <c r="AB92" s="116"/>
      <c r="AC92" s="116"/>
      <c r="AD92" s="116"/>
      <c r="AE92" s="116"/>
      <c r="AF92" s="116"/>
      <c r="AG92" s="116"/>
      <c r="AH92" s="116"/>
      <c r="AI92" s="116"/>
      <c r="AJ92" s="116"/>
      <c r="AK92" s="116"/>
      <c r="AL92" s="116"/>
      <c r="AM92" s="116"/>
      <c r="AN92" s="116"/>
      <c r="AO92" s="117"/>
    </row>
    <row r="93" spans="1:41">
      <c r="Y93" s="115"/>
      <c r="Z93" s="116"/>
      <c r="AA93" s="116"/>
      <c r="AB93" s="116"/>
      <c r="AC93" s="116"/>
      <c r="AD93" s="116"/>
      <c r="AE93" s="116"/>
      <c r="AF93" s="116"/>
      <c r="AG93" s="116"/>
      <c r="AH93" s="116"/>
      <c r="AI93" s="116"/>
      <c r="AJ93" s="116"/>
      <c r="AK93" s="116"/>
      <c r="AL93" s="116"/>
      <c r="AM93" s="116"/>
      <c r="AN93" s="116"/>
      <c r="AO93" s="117"/>
    </row>
    <row r="94" spans="1:41">
      <c r="Y94" s="115"/>
      <c r="Z94" s="116"/>
      <c r="AA94" s="116"/>
      <c r="AB94" s="116"/>
      <c r="AC94" s="116"/>
      <c r="AD94" s="116"/>
      <c r="AE94" s="116"/>
      <c r="AF94" s="116"/>
      <c r="AG94" s="116"/>
      <c r="AH94" s="116"/>
      <c r="AI94" s="116"/>
      <c r="AJ94" s="116"/>
      <c r="AK94" s="116"/>
      <c r="AL94" s="116"/>
      <c r="AM94" s="116"/>
      <c r="AN94" s="116"/>
      <c r="AO94" s="117"/>
    </row>
    <row r="95" spans="1:41" s="155" customFormat="1">
      <c r="A95" s="69"/>
      <c r="B95" s="69"/>
      <c r="C95" s="69"/>
      <c r="D95" s="69"/>
      <c r="E95" s="69"/>
      <c r="F95" s="69"/>
      <c r="G95" s="69"/>
      <c r="H95" s="69"/>
      <c r="I95" s="69"/>
      <c r="J95" s="69"/>
      <c r="K95" s="69"/>
      <c r="L95" s="69"/>
      <c r="M95" s="69"/>
      <c r="N95" s="69"/>
      <c r="O95" s="69"/>
      <c r="P95" s="69"/>
      <c r="Q95" s="69"/>
      <c r="R95" s="69"/>
      <c r="S95" s="69"/>
      <c r="T95" s="69"/>
      <c r="Y95" s="157"/>
      <c r="Z95" s="158"/>
      <c r="AA95" s="158"/>
      <c r="AB95" s="158"/>
      <c r="AC95" s="158"/>
      <c r="AD95" s="158"/>
      <c r="AE95" s="158"/>
      <c r="AF95" s="158"/>
      <c r="AG95" s="158"/>
      <c r="AH95" s="158"/>
      <c r="AI95" s="158"/>
      <c r="AJ95" s="158"/>
      <c r="AK95" s="158"/>
      <c r="AL95" s="158"/>
      <c r="AM95" s="158"/>
      <c r="AN95" s="158"/>
      <c r="AO95" s="159"/>
    </row>
    <row r="96" spans="1:41">
      <c r="Y96" s="115"/>
      <c r="Z96" s="116"/>
      <c r="AA96" s="116"/>
      <c r="AB96" s="116"/>
      <c r="AC96" s="116"/>
      <c r="AD96" s="116"/>
      <c r="AE96" s="116"/>
      <c r="AF96" s="116"/>
      <c r="AG96" s="116"/>
      <c r="AH96" s="116"/>
      <c r="AI96" s="116"/>
      <c r="AJ96" s="116"/>
      <c r="AK96" s="116"/>
      <c r="AL96" s="116"/>
      <c r="AM96" s="116"/>
      <c r="AN96" s="116"/>
      <c r="AO96" s="117"/>
    </row>
    <row r="97" spans="25:41">
      <c r="Y97" s="115"/>
      <c r="Z97" s="116"/>
      <c r="AA97" s="349" t="s">
        <v>248</v>
      </c>
      <c r="AB97" s="349"/>
      <c r="AC97" s="349"/>
      <c r="AD97" s="349"/>
      <c r="AE97" s="349"/>
      <c r="AF97" s="349"/>
      <c r="AG97" s="349"/>
      <c r="AH97" s="349"/>
      <c r="AI97" s="349"/>
      <c r="AJ97" s="349"/>
      <c r="AK97" s="349"/>
      <c r="AL97" s="349"/>
      <c r="AM97" s="349"/>
      <c r="AN97" s="116"/>
      <c r="AO97" s="117"/>
    </row>
    <row r="98" spans="25:41">
      <c r="Y98" s="115"/>
      <c r="Z98" s="116"/>
      <c r="AA98" s="349"/>
      <c r="AB98" s="349"/>
      <c r="AC98" s="349"/>
      <c r="AD98" s="349"/>
      <c r="AE98" s="349"/>
      <c r="AF98" s="349"/>
      <c r="AG98" s="349"/>
      <c r="AH98" s="349"/>
      <c r="AI98" s="349"/>
      <c r="AJ98" s="349"/>
      <c r="AK98" s="349"/>
      <c r="AL98" s="349"/>
      <c r="AM98" s="349"/>
      <c r="AN98" s="116"/>
      <c r="AO98" s="117"/>
    </row>
    <row r="99" spans="25:41">
      <c r="Y99" s="115"/>
      <c r="Z99" s="116"/>
      <c r="AA99" s="349"/>
      <c r="AB99" s="349"/>
      <c r="AC99" s="349"/>
      <c r="AD99" s="349"/>
      <c r="AE99" s="349"/>
      <c r="AF99" s="349"/>
      <c r="AG99" s="349"/>
      <c r="AH99" s="349"/>
      <c r="AI99" s="349"/>
      <c r="AJ99" s="349"/>
      <c r="AK99" s="349"/>
      <c r="AL99" s="349"/>
      <c r="AM99" s="349"/>
      <c r="AN99" s="116"/>
      <c r="AO99" s="117"/>
    </row>
    <row r="100" spans="25:41">
      <c r="Y100" s="115"/>
      <c r="Z100" s="116"/>
      <c r="AA100" s="349"/>
      <c r="AB100" s="349"/>
      <c r="AC100" s="349"/>
      <c r="AD100" s="349"/>
      <c r="AE100" s="349"/>
      <c r="AF100" s="349"/>
      <c r="AG100" s="349"/>
      <c r="AH100" s="349"/>
      <c r="AI100" s="349"/>
      <c r="AJ100" s="349"/>
      <c r="AK100" s="349"/>
      <c r="AL100" s="349"/>
      <c r="AM100" s="349"/>
      <c r="AN100" s="116"/>
      <c r="AO100" s="117"/>
    </row>
    <row r="101" spans="25:41" ht="15.75" thickBot="1">
      <c r="Y101" s="138"/>
      <c r="Z101" s="149"/>
      <c r="AA101" s="149"/>
      <c r="AB101" s="149"/>
      <c r="AC101" s="149"/>
      <c r="AD101" s="149"/>
      <c r="AE101" s="149"/>
      <c r="AF101" s="149"/>
      <c r="AG101" s="149"/>
      <c r="AH101" s="149"/>
      <c r="AI101" s="149"/>
      <c r="AJ101" s="149"/>
      <c r="AK101" s="149"/>
      <c r="AL101" s="149"/>
      <c r="AM101" s="149"/>
      <c r="AN101" s="149"/>
      <c r="AO101" s="150"/>
    </row>
    <row r="105" spans="25:41" ht="15.75" thickBot="1"/>
    <row r="106" spans="25:41">
      <c r="Y106" s="112"/>
      <c r="Z106" s="113"/>
      <c r="AA106" s="113"/>
      <c r="AB106" s="113"/>
      <c r="AC106" s="113"/>
      <c r="AD106" s="113"/>
      <c r="AE106" s="113"/>
      <c r="AF106" s="114"/>
    </row>
    <row r="107" spans="25:41">
      <c r="Y107" s="115"/>
      <c r="Z107" s="116"/>
      <c r="AA107" s="116"/>
      <c r="AB107" s="116"/>
      <c r="AC107" s="116"/>
      <c r="AD107" s="116"/>
      <c r="AE107" s="116"/>
      <c r="AF107" s="117"/>
    </row>
    <row r="108" spans="25:41">
      <c r="Y108" s="115"/>
      <c r="Z108" s="116"/>
      <c r="AA108" s="116"/>
      <c r="AB108" s="116"/>
      <c r="AC108" s="116"/>
      <c r="AD108" s="116"/>
      <c r="AE108" s="116"/>
      <c r="AF108" s="117"/>
    </row>
    <row r="109" spans="25:41">
      <c r="Y109" s="115"/>
      <c r="Z109" s="116"/>
      <c r="AA109" s="116"/>
      <c r="AB109" s="116"/>
      <c r="AC109" s="116"/>
      <c r="AD109" s="116"/>
      <c r="AE109" s="116"/>
      <c r="AF109" s="117"/>
    </row>
    <row r="110" spans="25:41">
      <c r="Y110" s="115"/>
      <c r="Z110" s="116"/>
      <c r="AA110" s="116"/>
      <c r="AB110" s="116"/>
      <c r="AC110" s="116"/>
      <c r="AD110" s="116"/>
      <c r="AE110" s="116"/>
      <c r="AF110" s="117"/>
    </row>
    <row r="111" spans="25:41">
      <c r="Y111" s="115"/>
      <c r="Z111" s="116"/>
      <c r="AA111" s="116"/>
      <c r="AB111" s="116"/>
      <c r="AC111" s="116"/>
      <c r="AD111" s="116"/>
      <c r="AE111" s="116"/>
      <c r="AF111" s="117"/>
    </row>
    <row r="112" spans="25:41">
      <c r="Y112" s="115"/>
      <c r="Z112" s="116"/>
      <c r="AA112" s="116"/>
      <c r="AB112" s="116"/>
      <c r="AC112" s="116"/>
      <c r="AD112" s="116"/>
      <c r="AE112" s="116"/>
      <c r="AF112" s="117"/>
    </row>
    <row r="113" spans="21:32">
      <c r="Y113" s="115"/>
      <c r="Z113" s="116"/>
      <c r="AA113" s="116"/>
      <c r="AB113" s="116"/>
      <c r="AC113" s="116"/>
      <c r="AD113" s="116"/>
      <c r="AE113" s="116"/>
      <c r="AF113" s="117"/>
    </row>
    <row r="114" spans="21:32">
      <c r="Y114" s="115"/>
      <c r="Z114" s="116"/>
      <c r="AA114" s="116"/>
      <c r="AB114" s="116"/>
      <c r="AC114" s="116"/>
      <c r="AD114" s="116"/>
      <c r="AE114" s="116"/>
      <c r="AF114" s="117"/>
    </row>
    <row r="115" spans="21:32">
      <c r="Y115" s="115"/>
      <c r="Z115" s="116"/>
      <c r="AA115" s="116"/>
      <c r="AB115" s="116"/>
      <c r="AC115" s="116"/>
      <c r="AD115" s="116"/>
      <c r="AE115" s="116"/>
      <c r="AF115" s="117"/>
    </row>
    <row r="116" spans="21:32">
      <c r="Y116" s="115"/>
      <c r="Z116" s="116"/>
      <c r="AA116" s="116"/>
      <c r="AB116" s="116"/>
      <c r="AC116" s="116"/>
      <c r="AD116" s="116"/>
      <c r="AE116" s="116"/>
      <c r="AF116" s="117"/>
    </row>
    <row r="117" spans="21:32">
      <c r="Y117" s="115"/>
      <c r="Z117" s="116"/>
      <c r="AA117" s="116"/>
      <c r="AB117" s="116"/>
      <c r="AC117" s="116"/>
      <c r="AD117" s="116"/>
      <c r="AE117" s="116"/>
      <c r="AF117" s="117"/>
    </row>
    <row r="118" spans="21:32">
      <c r="Y118" s="115"/>
      <c r="Z118" s="349" t="s">
        <v>263</v>
      </c>
      <c r="AA118" s="349"/>
      <c r="AB118" s="349"/>
      <c r="AC118" s="349"/>
      <c r="AD118" s="349"/>
      <c r="AE118" s="349"/>
      <c r="AF118" s="117"/>
    </row>
    <row r="119" spans="21:32">
      <c r="Y119" s="115"/>
      <c r="Z119" s="349"/>
      <c r="AA119" s="349"/>
      <c r="AB119" s="349"/>
      <c r="AC119" s="349"/>
      <c r="AD119" s="349"/>
      <c r="AE119" s="349"/>
      <c r="AF119" s="117"/>
    </row>
    <row r="120" spans="21:32">
      <c r="Y120" s="115"/>
      <c r="Z120" s="349"/>
      <c r="AA120" s="349"/>
      <c r="AB120" s="349"/>
      <c r="AC120" s="349"/>
      <c r="AD120" s="349"/>
      <c r="AE120" s="349"/>
      <c r="AF120" s="117"/>
    </row>
    <row r="121" spans="21:32">
      <c r="Y121" s="115"/>
      <c r="Z121" s="116"/>
      <c r="AA121" s="116"/>
      <c r="AB121" s="116"/>
      <c r="AC121" s="116"/>
      <c r="AD121" s="116"/>
      <c r="AE121" s="116"/>
      <c r="AF121" s="117"/>
    </row>
    <row r="122" spans="21:32" ht="15.75" thickBot="1">
      <c r="Y122" s="138"/>
      <c r="Z122" s="149"/>
      <c r="AA122" s="149"/>
      <c r="AB122" s="149"/>
      <c r="AC122" s="149"/>
      <c r="AD122" s="149"/>
      <c r="AE122" s="149"/>
      <c r="AF122" s="150"/>
    </row>
    <row r="126" spans="21:32" ht="16.5" customHeight="1">
      <c r="U126" s="74"/>
      <c r="V126" s="74"/>
      <c r="W126" s="74"/>
    </row>
    <row r="127" spans="21:32">
      <c r="U127" s="74"/>
      <c r="V127" s="74"/>
      <c r="W127" s="74"/>
    </row>
  </sheetData>
  <mergeCells count="20">
    <mergeCell ref="Z118:AE120"/>
    <mergeCell ref="A55:B55"/>
    <mergeCell ref="A56:B56"/>
    <mergeCell ref="A57:B57"/>
    <mergeCell ref="A58:B58"/>
    <mergeCell ref="A65:C65"/>
    <mergeCell ref="AA97:AM100"/>
    <mergeCell ref="B24:C24"/>
    <mergeCell ref="D24:E24"/>
    <mergeCell ref="F24:G24"/>
    <mergeCell ref="Z24:AN25"/>
    <mergeCell ref="AA44:AL47"/>
    <mergeCell ref="A47:B47"/>
    <mergeCell ref="A12:C12"/>
    <mergeCell ref="A13:C13"/>
    <mergeCell ref="A15:C15"/>
    <mergeCell ref="A16:C16"/>
    <mergeCell ref="O16:W19"/>
    <mergeCell ref="A17:C17"/>
    <mergeCell ref="A19:C19"/>
  </mergeCells>
  <hyperlinks>
    <hyperlink ref="A5" location="Wastewater" display="Wastewater"/>
    <hyperlink ref="A4" location="ActualFlowRate" display="ActualFlowRate"/>
    <hyperlink ref="A3" location="WaterHeaterParameters" display="WaterHeaterParameters"/>
    <hyperlink ref="G9" location="'Current Input Assumptions'!A1" display="back to top"/>
    <hyperlink ref="G22" location="'Current Input Assumptions'!A1" display="back to top"/>
    <hyperlink ref="G34" location="'Current Input Assumptions'!A1" display="back to top"/>
    <hyperlink ref="G53" location="'Current Input Assumptions'!A1" display="back to top"/>
    <hyperlink ref="A6" location="Costs" display="Showerhead Costs"/>
    <hyperlink ref="G62" location="'Current Input Assumptions'!A1" display="back to top"/>
    <hyperlink ref="A7" location="InstallationRates" display="Installation Rates"/>
  </hyperlinks>
  <pageMargins left="0.7" right="0.7" top="0.75" bottom="0.75" header="0.3" footer="0.3"/>
  <pageSetup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dimension ref="A1:BD30"/>
  <sheetViews>
    <sheetView topLeftCell="O10" workbookViewId="0">
      <selection activeCell="AE3" sqref="AE3:AE30"/>
    </sheetView>
  </sheetViews>
  <sheetFormatPr defaultRowHeight="12.75"/>
  <cols>
    <col min="1" max="2" width="21.85546875" customWidth="1"/>
    <col min="3" max="3" width="40.28515625" bestFit="1" customWidth="1"/>
    <col min="4" max="4" width="12.28515625" bestFit="1" customWidth="1"/>
    <col min="5" max="5" width="30.5703125" bestFit="1" customWidth="1"/>
    <col min="10" max="10" width="46.5703125" customWidth="1"/>
  </cols>
  <sheetData>
    <row r="1" spans="1:56" ht="15.75" thickBot="1">
      <c r="A1" s="62" t="s">
        <v>596</v>
      </c>
      <c r="B1" s="62" t="s">
        <v>597</v>
      </c>
      <c r="C1" s="62" t="s">
        <v>598</v>
      </c>
      <c r="D1" s="62" t="s">
        <v>541</v>
      </c>
      <c r="E1" s="62" t="s">
        <v>599</v>
      </c>
      <c r="F1" s="62" t="s">
        <v>600</v>
      </c>
      <c r="G1" s="62" t="s">
        <v>601</v>
      </c>
      <c r="H1" s="62" t="s">
        <v>602</v>
      </c>
      <c r="I1" s="62" t="s">
        <v>74</v>
      </c>
      <c r="J1" s="62" t="s">
        <v>75</v>
      </c>
      <c r="K1" s="56">
        <v>2016</v>
      </c>
      <c r="L1" s="57">
        <v>2017</v>
      </c>
      <c r="M1" s="57">
        <v>2018</v>
      </c>
      <c r="N1" s="57">
        <v>2019</v>
      </c>
      <c r="O1" s="57">
        <v>2020</v>
      </c>
      <c r="P1" s="57">
        <v>2021</v>
      </c>
      <c r="Q1" s="57">
        <v>2022</v>
      </c>
      <c r="R1" s="57">
        <v>2023</v>
      </c>
      <c r="S1" s="57">
        <v>2024</v>
      </c>
      <c r="T1" s="57">
        <v>2025</v>
      </c>
      <c r="U1" s="57">
        <v>2026</v>
      </c>
      <c r="V1" s="57">
        <v>2027</v>
      </c>
      <c r="W1" s="57">
        <v>2028</v>
      </c>
      <c r="X1" s="57">
        <v>2029</v>
      </c>
      <c r="Y1" s="57">
        <v>2030</v>
      </c>
      <c r="Z1" s="57">
        <v>2031</v>
      </c>
      <c r="AA1" s="57">
        <v>2032</v>
      </c>
      <c r="AB1" s="57">
        <v>2033</v>
      </c>
      <c r="AC1" s="57">
        <v>2034</v>
      </c>
      <c r="AD1" s="57">
        <v>2035</v>
      </c>
      <c r="AE1" s="58" t="s">
        <v>68</v>
      </c>
      <c r="AF1" s="36" t="s">
        <v>592</v>
      </c>
      <c r="AG1" s="37"/>
      <c r="AH1" s="37"/>
      <c r="AI1" s="37"/>
      <c r="AJ1" s="37"/>
      <c r="AK1" s="37"/>
      <c r="AL1" s="37"/>
      <c r="AM1" s="37"/>
      <c r="AN1" s="37"/>
      <c r="AO1" s="37"/>
      <c r="AP1" s="37"/>
      <c r="AQ1" s="31"/>
      <c r="AR1" s="35"/>
      <c r="AS1" s="36" t="s">
        <v>593</v>
      </c>
      <c r="AT1" s="37"/>
      <c r="AU1" s="37"/>
      <c r="AV1" s="37"/>
      <c r="AW1" s="37"/>
      <c r="AX1" s="37"/>
      <c r="AY1" s="37"/>
      <c r="AZ1" s="37"/>
      <c r="BA1" s="37"/>
      <c r="BB1" s="37"/>
      <c r="BC1" s="37"/>
      <c r="BD1" s="31"/>
    </row>
    <row r="2" spans="1:56" ht="15">
      <c r="A2" s="62"/>
      <c r="B2" s="62"/>
      <c r="C2" s="62"/>
      <c r="D2" s="62"/>
      <c r="E2" s="62"/>
      <c r="F2" s="62" t="s">
        <v>594</v>
      </c>
      <c r="G2" s="62" t="s">
        <v>46</v>
      </c>
      <c r="H2" s="62" t="s">
        <v>73</v>
      </c>
      <c r="I2" s="62">
        <v>1</v>
      </c>
      <c r="J2" s="62"/>
      <c r="K2" s="59" t="str">
        <f t="shared" ref="K2:AD2" si="0">CONCATENATE("aMW_",K$1)</f>
        <v>aMW_2016</v>
      </c>
      <c r="L2" s="60" t="str">
        <f t="shared" si="0"/>
        <v>aMW_2017</v>
      </c>
      <c r="M2" s="60" t="str">
        <f t="shared" si="0"/>
        <v>aMW_2018</v>
      </c>
      <c r="N2" s="60" t="str">
        <f t="shared" si="0"/>
        <v>aMW_2019</v>
      </c>
      <c r="O2" s="60" t="str">
        <f t="shared" si="0"/>
        <v>aMW_2020</v>
      </c>
      <c r="P2" s="60" t="str">
        <f t="shared" si="0"/>
        <v>aMW_2021</v>
      </c>
      <c r="Q2" s="60" t="str">
        <f t="shared" si="0"/>
        <v>aMW_2022</v>
      </c>
      <c r="R2" s="60" t="str">
        <f t="shared" si="0"/>
        <v>aMW_2023</v>
      </c>
      <c r="S2" s="60" t="str">
        <f t="shared" si="0"/>
        <v>aMW_2024</v>
      </c>
      <c r="T2" s="60" t="str">
        <f t="shared" si="0"/>
        <v>aMW_2025</v>
      </c>
      <c r="U2" s="60" t="str">
        <f t="shared" si="0"/>
        <v>aMW_2026</v>
      </c>
      <c r="V2" s="60" t="str">
        <f t="shared" si="0"/>
        <v>aMW_2027</v>
      </c>
      <c r="W2" s="60" t="str">
        <f t="shared" si="0"/>
        <v>aMW_2028</v>
      </c>
      <c r="X2" s="60" t="str">
        <f t="shared" si="0"/>
        <v>aMW_2029</v>
      </c>
      <c r="Y2" s="60" t="str">
        <f t="shared" si="0"/>
        <v>aMW_2030</v>
      </c>
      <c r="Z2" s="60" t="str">
        <f t="shared" si="0"/>
        <v>aMW_2031</v>
      </c>
      <c r="AA2" s="60" t="str">
        <f t="shared" si="0"/>
        <v>aMW_2032</v>
      </c>
      <c r="AB2" s="60" t="str">
        <f t="shared" si="0"/>
        <v>aMW_2033</v>
      </c>
      <c r="AC2" s="60" t="str">
        <f t="shared" si="0"/>
        <v>aMW_2034</v>
      </c>
      <c r="AD2" s="60" t="str">
        <f t="shared" si="0"/>
        <v>aMW_2035</v>
      </c>
      <c r="AE2" s="61" t="s">
        <v>68</v>
      </c>
      <c r="AF2" s="29" t="s">
        <v>33</v>
      </c>
      <c r="AG2" s="29" t="s">
        <v>34</v>
      </c>
      <c r="AH2" s="29" t="s">
        <v>35</v>
      </c>
      <c r="AI2" s="29" t="s">
        <v>36</v>
      </c>
      <c r="AJ2" s="29" t="s">
        <v>37</v>
      </c>
      <c r="AK2" s="29" t="s">
        <v>38</v>
      </c>
      <c r="AL2" s="29" t="s">
        <v>39</v>
      </c>
      <c r="AM2" s="29" t="s">
        <v>40</v>
      </c>
      <c r="AN2" s="29" t="s">
        <v>41</v>
      </c>
      <c r="AO2" s="29" t="s">
        <v>42</v>
      </c>
      <c r="AP2" s="29" t="s">
        <v>43</v>
      </c>
      <c r="AQ2" s="29" t="s">
        <v>44</v>
      </c>
      <c r="AR2" s="29"/>
      <c r="AS2" s="29" t="s">
        <v>33</v>
      </c>
      <c r="AT2" s="29" t="s">
        <v>34</v>
      </c>
      <c r="AU2" s="29" t="s">
        <v>35</v>
      </c>
      <c r="AV2" s="29" t="s">
        <v>36</v>
      </c>
      <c r="AW2" s="29" t="s">
        <v>37</v>
      </c>
      <c r="AX2" s="29" t="s">
        <v>38</v>
      </c>
      <c r="AY2" s="29" t="s">
        <v>39</v>
      </c>
      <c r="AZ2" s="29" t="s">
        <v>40</v>
      </c>
      <c r="BA2" s="29" t="s">
        <v>41</v>
      </c>
      <c r="BB2" s="29" t="s">
        <v>42</v>
      </c>
      <c r="BC2" s="29" t="s">
        <v>43</v>
      </c>
      <c r="BD2" s="29" t="s">
        <v>44</v>
      </c>
    </row>
    <row r="3" spans="1:56" ht="15">
      <c r="A3" s="53" t="str">
        <f>VLOOKUP(CONCATENATE($C3," - ",$B3),[2]ACHIEV!$B$12:$C$78,2,FALSE)</f>
        <v>LO12MEd</v>
      </c>
      <c r="B3" s="53" t="str">
        <f>'SC-New'!$C$7</f>
        <v>New</v>
      </c>
      <c r="C3" s="53" t="str">
        <f>'SC-New'!$C$8</f>
        <v>Showerheads</v>
      </c>
      <c r="D3" s="53" t="s">
        <v>219</v>
      </c>
      <c r="E3" s="53" t="str">
        <f>'SC-New'!$A$9</f>
        <v>Water Heating</v>
      </c>
      <c r="F3" s="310">
        <f t="shared" ref="F3:F30" si="1">VLOOKUP($J3,MeasureOutput,14,FALSE)</f>
        <v>1.8372463059213542E-2</v>
      </c>
      <c r="G3" s="55">
        <f>'SC-New'!A44</f>
        <v>94.936534263098281</v>
      </c>
      <c r="H3" s="55">
        <f>'SC-New'!B44</f>
        <v>-212.78769031163665</v>
      </c>
      <c r="I3" s="7" t="str">
        <f>'SC-New'!C44</f>
        <v>Single Family</v>
      </c>
      <c r="J3" s="7" t="str">
        <f>'SC-New'!D44</f>
        <v>SF Showerhead Replace_2_00gpm_Any Shower_ AnyWH</v>
      </c>
      <c r="K3" s="26">
        <f ca="1">'SC-New'!E44</f>
        <v>5.0976632953107788E-2</v>
      </c>
      <c r="L3" s="26">
        <f ca="1">'SC-New'!F44</f>
        <v>9.7522938224346378E-2</v>
      </c>
      <c r="M3" s="26">
        <f ca="1">'SC-New'!G44</f>
        <v>0.13865381620296841</v>
      </c>
      <c r="N3" s="26">
        <f ca="1">'SC-New'!H44</f>
        <v>0.17885784880848563</v>
      </c>
      <c r="O3" s="26">
        <f ca="1">'SC-New'!I44</f>
        <v>0.21756383793214965</v>
      </c>
      <c r="P3" s="26">
        <f ca="1">'SC-New'!J44</f>
        <v>0.24460851108586307</v>
      </c>
      <c r="Q3" s="26">
        <f ca="1">'SC-New'!K44</f>
        <v>0.26681249884228897</v>
      </c>
      <c r="R3" s="26">
        <f ca="1">'SC-New'!L44</f>
        <v>0.28863983167629831</v>
      </c>
      <c r="S3" s="26">
        <f ca="1">'SC-New'!M44</f>
        <v>0.30395528931780735</v>
      </c>
      <c r="T3" s="26">
        <f ca="1">'SC-New'!N44</f>
        <v>0.32425085118376856</v>
      </c>
      <c r="U3" s="26">
        <f ca="1">'SC-New'!O44</f>
        <v>0.33851323249982118</v>
      </c>
      <c r="V3" s="26">
        <f ca="1">'SC-New'!P44</f>
        <v>0.34364235192368997</v>
      </c>
      <c r="W3" s="26">
        <f ca="1">'SC-New'!Q44</f>
        <v>0.34191793247745245</v>
      </c>
      <c r="X3" s="26">
        <f ca="1">'SC-New'!R44</f>
        <v>0.34818120011914799</v>
      </c>
      <c r="Y3" s="26">
        <f ca="1">'SC-New'!S44</f>
        <v>0.35702639416149234</v>
      </c>
      <c r="Z3" s="26">
        <f ca="1">'SC-New'!T44</f>
        <v>0.35931345487237387</v>
      </c>
      <c r="AA3" s="26">
        <f ca="1">'SC-New'!U44</f>
        <v>0.34745212417337484</v>
      </c>
      <c r="AB3" s="26">
        <f ca="1">'SC-New'!V44</f>
        <v>0.34686649591238256</v>
      </c>
      <c r="AC3" s="26">
        <f ca="1">'SC-New'!W44</f>
        <v>0.34775045126867421</v>
      </c>
      <c r="AD3" s="26">
        <f ca="1">'SC-New'!X44</f>
        <v>0.3501122915495713</v>
      </c>
      <c r="AE3" s="26">
        <f ca="1">'SC-New'!Y44</f>
        <v>5.5926179851850648</v>
      </c>
      <c r="AF3" s="311">
        <f t="shared" ref="AF3:AF30" si="2">VLOOKUP($J3,MeasureOutput,15,FALSE)</f>
        <v>6.2771977212306407</v>
      </c>
      <c r="AG3" s="311">
        <f t="shared" ref="AG3:AG30" si="3">VLOOKUP($J3,MeasureOutput,16,FALSE)</f>
        <v>5.6233132036931348</v>
      </c>
      <c r="AH3" s="311">
        <f t="shared" ref="AH3:AH30" si="4">VLOOKUP($J3,MeasureOutput,17,FALSE)</f>
        <v>6.4689580745581079</v>
      </c>
      <c r="AI3" s="311">
        <f t="shared" ref="AI3:AI30" si="5">VLOOKUP($J3,MeasureOutput,18,FALSE)</f>
        <v>5.610230642088494</v>
      </c>
      <c r="AJ3" s="311">
        <f t="shared" ref="AJ3:AJ30" si="6">VLOOKUP($J3,MeasureOutput,19,FALSE)</f>
        <v>5.3511778396785044</v>
      </c>
      <c r="AK3" s="311">
        <f t="shared" ref="AK3:AK30" si="7">VLOOKUP($J3,MeasureOutput,20,FALSE)</f>
        <v>5.2172948095051757</v>
      </c>
      <c r="AL3" s="311">
        <f t="shared" ref="AL3:AL30" si="8">VLOOKUP($J3,MeasureOutput,21,FALSE)</f>
        <v>4.4155754010640775</v>
      </c>
      <c r="AM3" s="311">
        <f t="shared" ref="AM3:AM30" si="9">VLOOKUP($J3,MeasureOutput,22,FALSE)</f>
        <v>4.6177731761444676</v>
      </c>
      <c r="AN3" s="311">
        <f t="shared" ref="AN3:AN30" si="10">VLOOKUP($J3,MeasureOutput,23,FALSE)</f>
        <v>4.3321446630688305</v>
      </c>
      <c r="AO3" s="311">
        <f t="shared" ref="AO3:AO30" si="11">VLOOKUP($J3,MeasureOutput,24,FALSE)</f>
        <v>5.2302819890305976</v>
      </c>
      <c r="AP3" s="311">
        <f t="shared" ref="AP3:AP30" si="12">VLOOKUP($J3,MeasureOutput,25,FALSE)</f>
        <v>5.360834763253151</v>
      </c>
      <c r="AQ3" s="311">
        <f t="shared" ref="AQ3:AQ30" si="13">VLOOKUP($J3,MeasureOutput,26,FALSE)</f>
        <v>6.2329268904480255</v>
      </c>
      <c r="AR3" s="311"/>
      <c r="AS3" s="311">
        <f t="shared" ref="AS3:AS30" si="14">VLOOKUP($J3,MeasureOutput,28,FALSE)</f>
        <v>3.1497928405646141</v>
      </c>
      <c r="AT3" s="311">
        <f t="shared" ref="AT3:AT30" si="15">VLOOKUP($J3,MeasureOutput,29,FALSE)</f>
        <v>2.6383374706299012</v>
      </c>
      <c r="AU3" s="311">
        <f t="shared" ref="AU3:AU30" si="16">VLOOKUP($J3,MeasureOutput,30,FALSE)</f>
        <v>2.5189652983410427</v>
      </c>
      <c r="AV3" s="311">
        <f t="shared" ref="AV3:AV30" si="17">VLOOKUP($J3,MeasureOutput,31,FALSE)</f>
        <v>2.6203190979783053</v>
      </c>
      <c r="AW3" s="311">
        <f t="shared" ref="AW3:AW30" si="18">VLOOKUP($J3,MeasureOutput,32,FALSE)</f>
        <v>2.6184759624756659</v>
      </c>
      <c r="AX3" s="311">
        <f t="shared" ref="AX3:AX30" si="19">VLOOKUP($J3,MeasureOutput,33,FALSE)</f>
        <v>2.1710119660092295</v>
      </c>
      <c r="AY3" s="311">
        <f t="shared" ref="AY3:AY30" si="20">VLOOKUP($J3,MeasureOutput,34,FALSE)</f>
        <v>2.3606316986668618</v>
      </c>
      <c r="AZ3" s="311">
        <f t="shared" ref="AZ3:AZ30" si="21">VLOOKUP($J3,MeasureOutput,35,FALSE)</f>
        <v>1.8533483596986504</v>
      </c>
      <c r="BA3" s="311">
        <f t="shared" ref="BA3:BA30" si="22">VLOOKUP($J3,MeasureOutput,36,FALSE)</f>
        <v>2.2833991717717383</v>
      </c>
      <c r="BB3" s="311">
        <f t="shared" ref="BB3:BB30" si="23">VLOOKUP($J3,MeasureOutput,37,FALSE)</f>
        <v>2.1303292532521572</v>
      </c>
      <c r="BC3" s="311">
        <f t="shared" ref="BC3:BC30" si="24">VLOOKUP($J3,MeasureOutput,38,FALSE)</f>
        <v>2.7898750838648665</v>
      </c>
      <c r="BD3" s="311">
        <f t="shared" ref="BD3:BD30" si="25">VLOOKUP($J3,MeasureOutput,39,FALSE)</f>
        <v>3.0643388860820417</v>
      </c>
    </row>
    <row r="4" spans="1:56" ht="15">
      <c r="A4" s="53" t="str">
        <f>VLOOKUP(CONCATENATE($C4," - ",$B4),[2]ACHIEV!$B$12:$C$78,2,FALSE)</f>
        <v>LO12MEd</v>
      </c>
      <c r="B4" s="53" t="str">
        <f>'SC-New'!$C$7</f>
        <v>New</v>
      </c>
      <c r="C4" s="53" t="str">
        <f>'SC-New'!$C$8</f>
        <v>Showerheads</v>
      </c>
      <c r="D4" s="53" t="s">
        <v>219</v>
      </c>
      <c r="E4" s="53" t="str">
        <f>'SC-New'!$A$9</f>
        <v>Water Heating</v>
      </c>
      <c r="F4" s="310">
        <f t="shared" si="1"/>
        <v>2.2249005776311039E-2</v>
      </c>
      <c r="G4" s="55">
        <f>'SC-New'!A45</f>
        <v>114.9679001881766</v>
      </c>
      <c r="H4" s="55">
        <f>'SC-New'!B45</f>
        <v>-109.97334429276586</v>
      </c>
      <c r="I4" s="7" t="str">
        <f>'SC-New'!C45</f>
        <v>Multifamily - Low Rise</v>
      </c>
      <c r="J4" s="7" t="str">
        <f>'SC-New'!D45</f>
        <v>MF Showerhead Replace_2_00gpm_Any Shower_ AnyWH</v>
      </c>
      <c r="K4" s="26">
        <f ca="1">'SC-New'!E45</f>
        <v>2.0669221070056538E-2</v>
      </c>
      <c r="L4" s="26">
        <f ca="1">'SC-New'!F45</f>
        <v>4.0871564434462354E-2</v>
      </c>
      <c r="M4" s="26">
        <f ca="1">'SC-New'!G45</f>
        <v>6.0759168784525509E-2</v>
      </c>
      <c r="N4" s="26">
        <f ca="1">'SC-New'!H45</f>
        <v>7.8435031260872312E-2</v>
      </c>
      <c r="O4" s="26">
        <f ca="1">'SC-New'!I45</f>
        <v>9.2414606785381229E-2</v>
      </c>
      <c r="P4" s="26">
        <f ca="1">'SC-New'!J45</f>
        <v>0.10513324942293105</v>
      </c>
      <c r="Q4" s="26">
        <f ca="1">'SC-New'!K45</f>
        <v>0.11689073127666491</v>
      </c>
      <c r="R4" s="26">
        <f ca="1">'SC-New'!L45</f>
        <v>0.1294235909018045</v>
      </c>
      <c r="S4" s="26">
        <f ca="1">'SC-New'!M45</f>
        <v>0.14106126239651134</v>
      </c>
      <c r="T4" s="26">
        <f ca="1">'SC-New'!N45</f>
        <v>0.15187115087548056</v>
      </c>
      <c r="U4" s="26">
        <f ca="1">'SC-New'!O45</f>
        <v>0.15810908256486106</v>
      </c>
      <c r="V4" s="26">
        <f ca="1">'SC-New'!P45</f>
        <v>0.16263682983590463</v>
      </c>
      <c r="W4" s="26">
        <f ca="1">'SC-New'!Q45</f>
        <v>0.16649014463425513</v>
      </c>
      <c r="X4" s="26">
        <f ca="1">'SC-New'!R45</f>
        <v>0.16752064549876136</v>
      </c>
      <c r="Y4" s="26">
        <f ca="1">'SC-New'!S45</f>
        <v>0.16774844523712709</v>
      </c>
      <c r="Z4" s="26">
        <f ca="1">'SC-New'!T45</f>
        <v>0.16607723102036129</v>
      </c>
      <c r="AA4" s="26">
        <f ca="1">'SC-New'!U45</f>
        <v>0.16325761627217136</v>
      </c>
      <c r="AB4" s="26">
        <f ca="1">'SC-New'!V45</f>
        <v>0.16119202692274889</v>
      </c>
      <c r="AC4" s="26">
        <f ca="1">'SC-New'!W45</f>
        <v>0.15808986405132058</v>
      </c>
      <c r="AD4" s="26">
        <f ca="1">'SC-New'!X45</f>
        <v>0.15749225003720294</v>
      </c>
      <c r="AE4" s="26">
        <f ca="1">'SC-New'!Y45</f>
        <v>2.5661437132834046</v>
      </c>
      <c r="AF4" s="311">
        <f t="shared" si="2"/>
        <v>7.6016703861961883</v>
      </c>
      <c r="AG4" s="311">
        <f t="shared" si="3"/>
        <v>6.8098179077971865</v>
      </c>
      <c r="AH4" s="311">
        <f t="shared" si="4"/>
        <v>7.8338916836400641</v>
      </c>
      <c r="AI4" s="311">
        <f t="shared" si="5"/>
        <v>6.7939749591532035</v>
      </c>
      <c r="AJ4" s="311">
        <f t="shared" si="6"/>
        <v>6.4802626779738439</v>
      </c>
      <c r="AK4" s="311">
        <f t="shared" si="7"/>
        <v>6.3181306708457843</v>
      </c>
      <c r="AL4" s="311">
        <f t="shared" si="8"/>
        <v>5.3472505176568834</v>
      </c>
      <c r="AM4" s="311">
        <f t="shared" si="9"/>
        <v>5.5921115061493767</v>
      </c>
      <c r="AN4" s="311">
        <f t="shared" si="10"/>
        <v>5.2462161073224856</v>
      </c>
      <c r="AO4" s="311">
        <f t="shared" si="11"/>
        <v>6.3338581120357773</v>
      </c>
      <c r="AP4" s="311">
        <f t="shared" si="12"/>
        <v>6.4919571877247257</v>
      </c>
      <c r="AQ4" s="311">
        <f t="shared" si="13"/>
        <v>7.5480585233430721</v>
      </c>
      <c r="AR4" s="311"/>
      <c r="AS4" s="311">
        <f t="shared" si="14"/>
        <v>3.8143910741875837</v>
      </c>
      <c r="AT4" s="311">
        <f t="shared" si="15"/>
        <v>3.1950199292666461</v>
      </c>
      <c r="AU4" s="311">
        <f t="shared" si="16"/>
        <v>3.0504605339245114</v>
      </c>
      <c r="AV4" s="311">
        <f t="shared" si="17"/>
        <v>3.1731997260683582</v>
      </c>
      <c r="AW4" s="311">
        <f t="shared" si="18"/>
        <v>3.1709676936885631</v>
      </c>
      <c r="AX4" s="311">
        <f t="shared" si="19"/>
        <v>2.6290899383769069</v>
      </c>
      <c r="AY4" s="311">
        <f t="shared" si="20"/>
        <v>2.8587189496643468</v>
      </c>
      <c r="AZ4" s="311">
        <f t="shared" si="21"/>
        <v>2.2444001235736861</v>
      </c>
      <c r="BA4" s="311">
        <f t="shared" si="22"/>
        <v>2.765190557119996</v>
      </c>
      <c r="BB4" s="311">
        <f t="shared" si="23"/>
        <v>2.5798232772759508</v>
      </c>
      <c r="BC4" s="311">
        <f t="shared" si="24"/>
        <v>3.3785315913299612</v>
      </c>
      <c r="BD4" s="311">
        <f t="shared" si="25"/>
        <v>3.710906553861502</v>
      </c>
    </row>
    <row r="5" spans="1:56" ht="15">
      <c r="A5" s="53" t="str">
        <f>VLOOKUP(CONCATENATE($C5," - ",$B5),[2]ACHIEV!$B$12:$C$78,2,FALSE)</f>
        <v>LO12MEd</v>
      </c>
      <c r="B5" s="53" t="str">
        <f>'SC-New'!$C$7</f>
        <v>New</v>
      </c>
      <c r="C5" s="53" t="str">
        <f>'SC-New'!$C$8</f>
        <v>Showerheads</v>
      </c>
      <c r="D5" s="53" t="s">
        <v>219</v>
      </c>
      <c r="E5" s="53" t="str">
        <f>'SC-New'!$A$9</f>
        <v>Water Heating</v>
      </c>
      <c r="F5" s="310">
        <f t="shared" si="1"/>
        <v>2.2249005776311039E-2</v>
      </c>
      <c r="G5" s="55">
        <f>'SC-New'!A46</f>
        <v>114.9679001881766</v>
      </c>
      <c r="H5" s="55">
        <f>'SC-New'!B46</f>
        <v>-109.97334429276586</v>
      </c>
      <c r="I5" s="7" t="str">
        <f>'SC-New'!C46</f>
        <v>Multifamily - High Rise</v>
      </c>
      <c r="J5" s="7" t="str">
        <f>'SC-New'!D46</f>
        <v>MF Showerhead Replace_2_00gpm_Any Shower_ AnyWH</v>
      </c>
      <c r="K5" s="26">
        <f ca="1">'SC-New'!E46</f>
        <v>4.6400632876153706E-3</v>
      </c>
      <c r="L5" s="26">
        <f ca="1">'SC-New'!F46</f>
        <v>9.3044789342314315E-3</v>
      </c>
      <c r="M5" s="26">
        <f ca="1">'SC-New'!G46</f>
        <v>1.4040108271772839E-2</v>
      </c>
      <c r="N5" s="26">
        <f ca="1">'SC-New'!H46</f>
        <v>1.7706665444337889E-2</v>
      </c>
      <c r="O5" s="26">
        <f ca="1">'SC-New'!I46</f>
        <v>2.0458455794374653E-2</v>
      </c>
      <c r="P5" s="26">
        <f ca="1">'SC-New'!J46</f>
        <v>2.362263356660442E-2</v>
      </c>
      <c r="Q5" s="26">
        <f ca="1">'SC-New'!K46</f>
        <v>2.6341547117765679E-2</v>
      </c>
      <c r="R5" s="26">
        <f ca="1">'SC-New'!L46</f>
        <v>2.9528399049974584E-2</v>
      </c>
      <c r="S5" s="26">
        <f ca="1">'SC-New'!M46</f>
        <v>3.1957309467564074E-2</v>
      </c>
      <c r="T5" s="26">
        <f ca="1">'SC-New'!N46</f>
        <v>3.4402680786813834E-2</v>
      </c>
      <c r="U5" s="26">
        <f ca="1">'SC-New'!O46</f>
        <v>3.5384587026848768E-2</v>
      </c>
      <c r="V5" s="26">
        <f ca="1">'SC-New'!P46</f>
        <v>3.632747421318009E-2</v>
      </c>
      <c r="W5" s="26">
        <f ca="1">'SC-New'!Q46</f>
        <v>3.6867372454503423E-2</v>
      </c>
      <c r="X5" s="26">
        <f ca="1">'SC-New'!R46</f>
        <v>3.7386187906564498E-2</v>
      </c>
      <c r="Y5" s="26">
        <f ca="1">'SC-New'!S46</f>
        <v>3.7615369438049176E-2</v>
      </c>
      <c r="Z5" s="26">
        <f ca="1">'SC-New'!T46</f>
        <v>3.7214247237147745E-2</v>
      </c>
      <c r="AA5" s="26">
        <f ca="1">'SC-New'!U46</f>
        <v>3.6626326233671964E-2</v>
      </c>
      <c r="AB5" s="26">
        <f ca="1">'SC-New'!V46</f>
        <v>3.5783669716910792E-2</v>
      </c>
      <c r="AC5" s="26">
        <f ca="1">'SC-New'!W46</f>
        <v>3.5647408004485216E-2</v>
      </c>
      <c r="AD5" s="26">
        <f ca="1">'SC-New'!X46</f>
        <v>3.5485111200666421E-2</v>
      </c>
      <c r="AE5" s="26">
        <f ca="1">'SC-New'!Y46</f>
        <v>0.57634009515308282</v>
      </c>
      <c r="AF5" s="311">
        <f t="shared" si="2"/>
        <v>7.6016703861961883</v>
      </c>
      <c r="AG5" s="311">
        <f t="shared" si="3"/>
        <v>6.8098179077971865</v>
      </c>
      <c r="AH5" s="311">
        <f t="shared" si="4"/>
        <v>7.8338916836400641</v>
      </c>
      <c r="AI5" s="311">
        <f t="shared" si="5"/>
        <v>6.7939749591532035</v>
      </c>
      <c r="AJ5" s="311">
        <f t="shared" si="6"/>
        <v>6.4802626779738439</v>
      </c>
      <c r="AK5" s="311">
        <f t="shared" si="7"/>
        <v>6.3181306708457843</v>
      </c>
      <c r="AL5" s="311">
        <f t="shared" si="8"/>
        <v>5.3472505176568834</v>
      </c>
      <c r="AM5" s="311">
        <f t="shared" si="9"/>
        <v>5.5921115061493767</v>
      </c>
      <c r="AN5" s="311">
        <f t="shared" si="10"/>
        <v>5.2462161073224856</v>
      </c>
      <c r="AO5" s="311">
        <f t="shared" si="11"/>
        <v>6.3338581120357773</v>
      </c>
      <c r="AP5" s="311">
        <f t="shared" si="12"/>
        <v>6.4919571877247257</v>
      </c>
      <c r="AQ5" s="311">
        <f t="shared" si="13"/>
        <v>7.5480585233430721</v>
      </c>
      <c r="AR5" s="311"/>
      <c r="AS5" s="311">
        <f t="shared" si="14"/>
        <v>3.8143910741875837</v>
      </c>
      <c r="AT5" s="311">
        <f t="shared" si="15"/>
        <v>3.1950199292666461</v>
      </c>
      <c r="AU5" s="311">
        <f t="shared" si="16"/>
        <v>3.0504605339245114</v>
      </c>
      <c r="AV5" s="311">
        <f t="shared" si="17"/>
        <v>3.1731997260683582</v>
      </c>
      <c r="AW5" s="311">
        <f t="shared" si="18"/>
        <v>3.1709676936885631</v>
      </c>
      <c r="AX5" s="311">
        <f t="shared" si="19"/>
        <v>2.6290899383769069</v>
      </c>
      <c r="AY5" s="311">
        <f t="shared" si="20"/>
        <v>2.8587189496643468</v>
      </c>
      <c r="AZ5" s="311">
        <f t="shared" si="21"/>
        <v>2.2444001235736861</v>
      </c>
      <c r="BA5" s="311">
        <f t="shared" si="22"/>
        <v>2.765190557119996</v>
      </c>
      <c r="BB5" s="311">
        <f t="shared" si="23"/>
        <v>2.5798232772759508</v>
      </c>
      <c r="BC5" s="311">
        <f t="shared" si="24"/>
        <v>3.3785315913299612</v>
      </c>
      <c r="BD5" s="311">
        <f t="shared" si="25"/>
        <v>3.710906553861502</v>
      </c>
    </row>
    <row r="6" spans="1:56" ht="15">
      <c r="A6" s="53" t="str">
        <f>VLOOKUP(CONCATENATE($C6," - ",$B6),[2]ACHIEV!$B$12:$C$78,2,FALSE)</f>
        <v>LO12MEd</v>
      </c>
      <c r="B6" s="53" t="str">
        <f>'SC-New'!$C$7</f>
        <v>New</v>
      </c>
      <c r="C6" s="53" t="str">
        <f>'SC-New'!$C$8</f>
        <v>Showerheads</v>
      </c>
      <c r="D6" s="53" t="s">
        <v>219</v>
      </c>
      <c r="E6" s="53" t="str">
        <f>'SC-New'!$A$9</f>
        <v>Water Heating</v>
      </c>
      <c r="F6" s="310">
        <f t="shared" si="1"/>
        <v>2.9786774179740256E-2</v>
      </c>
      <c r="G6" s="55">
        <f>'SC-New'!A47</f>
        <v>141.19769879304073</v>
      </c>
      <c r="H6" s="55">
        <f>'SC-New'!B47</f>
        <v>-126.69575479929152</v>
      </c>
      <c r="I6" s="7" t="str">
        <f>'SC-New'!C47</f>
        <v>Manufactured</v>
      </c>
      <c r="J6" s="7" t="str">
        <f>'SC-New'!D47</f>
        <v>MH Showerhead Replace_2_00gpm_Any Shower_ AnyWH</v>
      </c>
      <c r="K6" s="26">
        <f ca="1">'SC-New'!E47</f>
        <v>1.5697473350069322E-3</v>
      </c>
      <c r="L6" s="26">
        <f ca="1">'SC-New'!F47</f>
        <v>3.1600166842492665E-3</v>
      </c>
      <c r="M6" s="26">
        <f ca="1">'SC-New'!G47</f>
        <v>4.9096408694408776E-3</v>
      </c>
      <c r="N6" s="26">
        <f ca="1">'SC-New'!H47</f>
        <v>6.7882099697087559E-3</v>
      </c>
      <c r="O6" s="26">
        <f ca="1">'SC-New'!I47</f>
        <v>8.226278494817529E-3</v>
      </c>
      <c r="P6" s="26">
        <f ca="1">'SC-New'!J47</f>
        <v>9.5537887909582422E-3</v>
      </c>
      <c r="Q6" s="26">
        <f ca="1">'SC-New'!K47</f>
        <v>1.0755179757036531E-2</v>
      </c>
      <c r="R6" s="26">
        <f ca="1">'SC-New'!L47</f>
        <v>1.1756823883562561E-2</v>
      </c>
      <c r="S6" s="26">
        <f ca="1">'SC-New'!M47</f>
        <v>1.2578324030027644E-2</v>
      </c>
      <c r="T6" s="26">
        <f ca="1">'SC-New'!N47</f>
        <v>1.3192230226765212E-2</v>
      </c>
      <c r="U6" s="26">
        <f ca="1">'SC-New'!O47</f>
        <v>1.3603162497034881E-2</v>
      </c>
      <c r="V6" s="26">
        <f ca="1">'SC-New'!P47</f>
        <v>1.3974159834656675E-2</v>
      </c>
      <c r="W6" s="26">
        <f ca="1">'SC-New'!Q47</f>
        <v>1.4302703218527347E-2</v>
      </c>
      <c r="X6" s="26">
        <f ca="1">'SC-New'!R47</f>
        <v>1.4565783192868734E-2</v>
      </c>
      <c r="Y6" s="26">
        <f ca="1">'SC-New'!S47</f>
        <v>1.4768882507538441E-2</v>
      </c>
      <c r="Z6" s="26">
        <f ca="1">'SC-New'!T47</f>
        <v>1.4919817051346722E-2</v>
      </c>
      <c r="AA6" s="26">
        <f ca="1">'SC-New'!U47</f>
        <v>1.4910746991444335E-2</v>
      </c>
      <c r="AB6" s="26">
        <f ca="1">'SC-New'!V47</f>
        <v>1.4912773033863383E-2</v>
      </c>
      <c r="AC6" s="26">
        <f ca="1">'SC-New'!W47</f>
        <v>1.4917433937342362E-2</v>
      </c>
      <c r="AD6" s="26">
        <f ca="1">'SC-New'!X47</f>
        <v>1.4919237430161731E-2</v>
      </c>
      <c r="AE6" s="26">
        <f ca="1">'SC-New'!Y47</f>
        <v>0.22828493973635819</v>
      </c>
      <c r="AF6" s="311">
        <f t="shared" si="2"/>
        <v>10.973922473948493</v>
      </c>
      <c r="AG6" s="311">
        <f t="shared" si="3"/>
        <v>9.8903970583919989</v>
      </c>
      <c r="AH6" s="311">
        <f t="shared" si="4"/>
        <v>11.069593661786152</v>
      </c>
      <c r="AI6" s="311">
        <f t="shared" si="5"/>
        <v>8.6862507595227978</v>
      </c>
      <c r="AJ6" s="311">
        <f t="shared" si="6"/>
        <v>7.2157772582258408</v>
      </c>
      <c r="AK6" s="311">
        <f t="shared" si="7"/>
        <v>6.1028819193627193</v>
      </c>
      <c r="AL6" s="311">
        <f t="shared" si="8"/>
        <v>5.2112794737179824</v>
      </c>
      <c r="AM6" s="311">
        <f t="shared" si="9"/>
        <v>5.3158950639631612</v>
      </c>
      <c r="AN6" s="311">
        <f t="shared" si="10"/>
        <v>5.2787690818740591</v>
      </c>
      <c r="AO6" s="311">
        <f t="shared" si="11"/>
        <v>7.0811796635967985</v>
      </c>
      <c r="AP6" s="311">
        <f t="shared" si="12"/>
        <v>7.8357476618245059</v>
      </c>
      <c r="AQ6" s="311">
        <f t="shared" si="13"/>
        <v>10.683183140544569</v>
      </c>
      <c r="AR6" s="311"/>
      <c r="AS6" s="311">
        <f t="shared" si="14"/>
        <v>5.7701972443200704</v>
      </c>
      <c r="AT6" s="311">
        <f t="shared" si="15"/>
        <v>4.8595422934777162</v>
      </c>
      <c r="AU6" s="311">
        <f t="shared" si="16"/>
        <v>4.4535880801684229</v>
      </c>
      <c r="AV6" s="311">
        <f t="shared" si="17"/>
        <v>4.1483191911884507</v>
      </c>
      <c r="AW6" s="311">
        <f t="shared" si="18"/>
        <v>3.5243058199859196</v>
      </c>
      <c r="AX6" s="311">
        <f t="shared" si="19"/>
        <v>2.6602432319004636</v>
      </c>
      <c r="AY6" s="311">
        <f t="shared" si="20"/>
        <v>2.7940363785114881</v>
      </c>
      <c r="AZ6" s="311">
        <f t="shared" si="21"/>
        <v>2.3130240471000234</v>
      </c>
      <c r="BA6" s="311">
        <f t="shared" si="22"/>
        <v>2.7740792326556463</v>
      </c>
      <c r="BB6" s="311">
        <f t="shared" si="23"/>
        <v>2.9243858472667297</v>
      </c>
      <c r="BC6" s="311">
        <f t="shared" si="24"/>
        <v>4.0731165650635583</v>
      </c>
      <c r="BD6" s="311">
        <f t="shared" si="25"/>
        <v>5.5579836446431639</v>
      </c>
    </row>
    <row r="7" spans="1:56" ht="15">
      <c r="A7" s="53" t="str">
        <f>VLOOKUP(CONCATENATE($C7," - ",$B7),[2]ACHIEV!$B$12:$C$78,2,FALSE)</f>
        <v>LO12MEd</v>
      </c>
      <c r="B7" s="53" t="str">
        <f>'SC-New'!$C$7</f>
        <v>New</v>
      </c>
      <c r="C7" s="53" t="str">
        <f>'SC-New'!$C$8</f>
        <v>Showerheads</v>
      </c>
      <c r="D7" s="53" t="s">
        <v>219</v>
      </c>
      <c r="E7" s="53" t="str">
        <f>'SC-New'!$A$9</f>
        <v>Water Heating</v>
      </c>
      <c r="F7" s="310">
        <f t="shared" si="1"/>
        <v>1.0956571694973402E-2</v>
      </c>
      <c r="G7" s="55">
        <f>'SC-New'!A48</f>
        <v>56.616194615468245</v>
      </c>
      <c r="H7" s="55">
        <f>'SC-New'!B48</f>
        <v>-238.38313260787731</v>
      </c>
      <c r="I7" s="7" t="str">
        <f>'SC-New'!C48</f>
        <v>Single Family</v>
      </c>
      <c r="J7" s="7" t="str">
        <f>'SC-New'!D48</f>
        <v>SF Showerhead Replace_1_75gpm_Any Shower_ AnyWH</v>
      </c>
      <c r="K7" s="26">
        <f ca="1">'SC-New'!E48</f>
        <v>3.0400340548730854E-2</v>
      </c>
      <c r="L7" s="26">
        <f ca="1">'SC-New'!F48</f>
        <v>5.8158618205720991E-2</v>
      </c>
      <c r="M7" s="26">
        <f ca="1">'SC-New'!G48</f>
        <v>8.268736059576097E-2</v>
      </c>
      <c r="N7" s="26">
        <f ca="1">'SC-New'!H48</f>
        <v>0.10666337101144084</v>
      </c>
      <c r="O7" s="26">
        <f ca="1">'SC-New'!I48</f>
        <v>0.12974601069298383</v>
      </c>
      <c r="P7" s="26">
        <f ca="1">'SC-New'!J48</f>
        <v>0.14587432726223035</v>
      </c>
      <c r="Q7" s="26">
        <f ca="1">'SC-New'!K48</f>
        <v>0.15911586069100983</v>
      </c>
      <c r="R7" s="26">
        <f ca="1">'SC-New'!L48</f>
        <v>0.17213277281297701</v>
      </c>
      <c r="S7" s="26">
        <f ca="1">'SC-New'!M48</f>
        <v>0.18126627381116622</v>
      </c>
      <c r="T7" s="26">
        <f ca="1">'SC-New'!N48</f>
        <v>0.19336970153109062</v>
      </c>
      <c r="U7" s="26">
        <f ca="1">'SC-New'!O48</f>
        <v>0.2018751916728718</v>
      </c>
      <c r="V7" s="26">
        <f ca="1">'SC-New'!P48</f>
        <v>0.20493398485256561</v>
      </c>
      <c r="W7" s="26">
        <f ca="1">'SC-New'!Q48</f>
        <v>0.20390561292257375</v>
      </c>
      <c r="X7" s="26">
        <f ca="1">'SC-New'!R48</f>
        <v>0.20764076485837421</v>
      </c>
      <c r="Y7" s="26">
        <f ca="1">'SC-New'!S48</f>
        <v>0.2129156701537912</v>
      </c>
      <c r="Z7" s="26">
        <f ca="1">'SC-New'!T48</f>
        <v>0.21427957789815663</v>
      </c>
      <c r="AA7" s="26">
        <f ca="1">'SC-New'!U48</f>
        <v>0.20720597433272733</v>
      </c>
      <c r="AB7" s="26">
        <f ca="1">'SC-New'!V48</f>
        <v>0.20685673003121563</v>
      </c>
      <c r="AC7" s="26">
        <f ca="1">'SC-New'!W48</f>
        <v>0.20738388418605869</v>
      </c>
      <c r="AD7" s="26">
        <f ca="1">'SC-New'!X48</f>
        <v>0.20879238735116629</v>
      </c>
      <c r="AE7" s="26">
        <f ca="1">'SC-New'!Y48</f>
        <v>3.3352044154226128</v>
      </c>
      <c r="AF7" s="311">
        <f t="shared" si="2"/>
        <v>3.7434592550015577</v>
      </c>
      <c r="AG7" s="311">
        <f t="shared" si="3"/>
        <v>3.3535097651839711</v>
      </c>
      <c r="AH7" s="311">
        <f t="shared" si="4"/>
        <v>3.8578171422763501</v>
      </c>
      <c r="AI7" s="311">
        <f t="shared" si="5"/>
        <v>3.3457078703747025</v>
      </c>
      <c r="AJ7" s="311">
        <f t="shared" si="6"/>
        <v>3.1912195694190264</v>
      </c>
      <c r="AK7" s="311">
        <f t="shared" si="7"/>
        <v>3.1113773068924058</v>
      </c>
      <c r="AL7" s="311">
        <f t="shared" si="8"/>
        <v>2.6332652459495787</v>
      </c>
      <c r="AM7" s="311">
        <f t="shared" si="9"/>
        <v>2.7538475768048531</v>
      </c>
      <c r="AN7" s="311">
        <f t="shared" si="10"/>
        <v>2.5835106289739818</v>
      </c>
      <c r="AO7" s="311">
        <f t="shared" si="11"/>
        <v>3.1191223198026057</v>
      </c>
      <c r="AP7" s="311">
        <f t="shared" si="12"/>
        <v>3.1969785563963025</v>
      </c>
      <c r="AQ7" s="311">
        <f t="shared" si="13"/>
        <v>3.7170579755485829</v>
      </c>
      <c r="AR7" s="311"/>
      <c r="AS7" s="311">
        <f t="shared" si="14"/>
        <v>1.8784052508764384</v>
      </c>
      <c r="AT7" s="311">
        <f t="shared" si="15"/>
        <v>1.5733945720464928</v>
      </c>
      <c r="AU7" s="311">
        <f t="shared" si="16"/>
        <v>1.502205980737191</v>
      </c>
      <c r="AV7" s="311">
        <f t="shared" si="17"/>
        <v>1.5626491651215921</v>
      </c>
      <c r="AW7" s="311">
        <f t="shared" si="18"/>
        <v>1.5615499958804764</v>
      </c>
      <c r="AX7" s="311">
        <f t="shared" si="19"/>
        <v>1.2947011067357403</v>
      </c>
      <c r="AY7" s="311">
        <f t="shared" si="20"/>
        <v>1.4077824170069377</v>
      </c>
      <c r="AZ7" s="311">
        <f t="shared" si="21"/>
        <v>1.1052597636665953</v>
      </c>
      <c r="BA7" s="311">
        <f t="shared" si="22"/>
        <v>1.361724154955567</v>
      </c>
      <c r="BB7" s="311">
        <f t="shared" si="23"/>
        <v>1.2704396314162765</v>
      </c>
      <c r="BC7" s="311">
        <f t="shared" si="24"/>
        <v>1.6637652925395958</v>
      </c>
      <c r="BD7" s="311">
        <f t="shared" si="25"/>
        <v>1.8274440718614255</v>
      </c>
    </row>
    <row r="8" spans="1:56" ht="15">
      <c r="A8" s="53" t="str">
        <f>VLOOKUP(CONCATENATE($C8," - ",$B8),[2]ACHIEV!$B$12:$C$78,2,FALSE)</f>
        <v>LO12MEd</v>
      </c>
      <c r="B8" s="53" t="str">
        <f>'SC-New'!$C$7</f>
        <v>New</v>
      </c>
      <c r="C8" s="53" t="str">
        <f>'SC-New'!$C$8</f>
        <v>Showerheads</v>
      </c>
      <c r="D8" s="53" t="s">
        <v>219</v>
      </c>
      <c r="E8" s="53" t="str">
        <f>'SC-New'!$A$9</f>
        <v>Water Heating</v>
      </c>
      <c r="F8" s="310">
        <f t="shared" si="1"/>
        <v>1.3268380300690299E-2</v>
      </c>
      <c r="G8" s="55">
        <f>'SC-New'!A49</f>
        <v>68.562066880880366</v>
      </c>
      <c r="H8" s="55">
        <f>'SC-New'!B49</f>
        <v>-134.16702760464855</v>
      </c>
      <c r="I8" s="7" t="str">
        <f>'SC-New'!C49</f>
        <v>Multifamily - Low Rise</v>
      </c>
      <c r="J8" s="7" t="str">
        <f>'SC-New'!D49</f>
        <v>MF Showerhead Replace_1_75gpm_Any Shower_ AnyWH</v>
      </c>
      <c r="K8" s="26">
        <f ca="1">'SC-New'!E49</f>
        <v>1.2326262505111459E-2</v>
      </c>
      <c r="L8" s="26">
        <f ca="1">'SC-New'!F49</f>
        <v>2.4374098593565544E-2</v>
      </c>
      <c r="M8" s="26">
        <f ca="1">'SC-New'!G49</f>
        <v>3.6234237443781271E-2</v>
      </c>
      <c r="N8" s="26">
        <f ca="1">'SC-New'!H49</f>
        <v>4.6775385566839404E-2</v>
      </c>
      <c r="O8" s="26">
        <f ca="1">'SC-New'!I49</f>
        <v>5.5112222114335717E-2</v>
      </c>
      <c r="P8" s="26">
        <f ca="1">'SC-New'!J49</f>
        <v>6.2697090810053507E-2</v>
      </c>
      <c r="Q8" s="26">
        <f ca="1">'SC-New'!K49</f>
        <v>6.9708763249812816E-2</v>
      </c>
      <c r="R8" s="26">
        <f ca="1">'SC-New'!L49</f>
        <v>7.7182838695402919E-2</v>
      </c>
      <c r="S8" s="26">
        <f ca="1">'SC-New'!M49</f>
        <v>8.4123061227534254E-2</v>
      </c>
      <c r="T8" s="26">
        <f ca="1">'SC-New'!N49</f>
        <v>9.0569628448966072E-2</v>
      </c>
      <c r="U8" s="26">
        <f ca="1">'SC-New'!O49</f>
        <v>9.4289671078131645E-2</v>
      </c>
      <c r="V8" s="26">
        <f ca="1">'SC-New'!P49</f>
        <v>9.6989830955009501E-2</v>
      </c>
      <c r="W8" s="26">
        <f ca="1">'SC-New'!Q49</f>
        <v>9.9287787397504934E-2</v>
      </c>
      <c r="X8" s="26">
        <f ca="1">'SC-New'!R49</f>
        <v>9.9902335189344535E-2</v>
      </c>
      <c r="Y8" s="26">
        <f ca="1">'SC-New'!S49</f>
        <v>0.1000381854646972</v>
      </c>
      <c r="Z8" s="26">
        <f ca="1">'SC-New'!T49</f>
        <v>9.9041542917389369E-2</v>
      </c>
      <c r="AA8" s="26">
        <f ca="1">'SC-New'!U49</f>
        <v>9.736004212780118E-2</v>
      </c>
      <c r="AB8" s="26">
        <f ca="1">'SC-New'!V49</f>
        <v>9.6128210678398912E-2</v>
      </c>
      <c r="AC8" s="26">
        <f ca="1">'SC-New'!W49</f>
        <v>9.4278209957170414E-2</v>
      </c>
      <c r="AD8" s="26">
        <f ca="1">'SC-New'!X49</f>
        <v>9.3921817851740794E-2</v>
      </c>
      <c r="AE8" s="26">
        <f ca="1">'SC-New'!Y49</f>
        <v>1.5303412222725914</v>
      </c>
      <c r="AF8" s="311">
        <f t="shared" si="2"/>
        <v>4.5333195837422968</v>
      </c>
      <c r="AG8" s="311">
        <f t="shared" si="3"/>
        <v>4.0610917488864722</v>
      </c>
      <c r="AH8" s="311">
        <f t="shared" si="4"/>
        <v>4.6718066927566548</v>
      </c>
      <c r="AI8" s="311">
        <f t="shared" si="5"/>
        <v>4.0516436742261437</v>
      </c>
      <c r="AJ8" s="311">
        <f t="shared" si="6"/>
        <v>3.8645587368795637</v>
      </c>
      <c r="AK8" s="311">
        <f t="shared" si="7"/>
        <v>3.7678699611599864</v>
      </c>
      <c r="AL8" s="311">
        <f t="shared" si="8"/>
        <v>3.188877478151217</v>
      </c>
      <c r="AM8" s="311">
        <f t="shared" si="9"/>
        <v>3.3349023724222464</v>
      </c>
      <c r="AN8" s="311">
        <f t="shared" si="10"/>
        <v>3.1286247642434293</v>
      </c>
      <c r="AO8" s="311">
        <f t="shared" si="11"/>
        <v>3.777249151986021</v>
      </c>
      <c r="AP8" s="311">
        <f t="shared" si="12"/>
        <v>3.871532855380178</v>
      </c>
      <c r="AQ8" s="311">
        <f t="shared" si="13"/>
        <v>4.5013477018471981</v>
      </c>
      <c r="AR8" s="311"/>
      <c r="AS8" s="311">
        <f t="shared" si="14"/>
        <v>2.2747439547058668</v>
      </c>
      <c r="AT8" s="311">
        <f t="shared" si="15"/>
        <v>1.905376802721265</v>
      </c>
      <c r="AU8" s="311">
        <f t="shared" si="16"/>
        <v>1.8191676007137088</v>
      </c>
      <c r="AV8" s="311">
        <f t="shared" si="17"/>
        <v>1.8923641424170692</v>
      </c>
      <c r="AW8" s="311">
        <f t="shared" si="18"/>
        <v>1.8910330512772526</v>
      </c>
      <c r="AX8" s="311">
        <f t="shared" si="19"/>
        <v>1.5678797290009545</v>
      </c>
      <c r="AY8" s="311">
        <f t="shared" si="20"/>
        <v>1.7048209065288624</v>
      </c>
      <c r="AZ8" s="311">
        <f t="shared" si="21"/>
        <v>1.3384667470489338</v>
      </c>
      <c r="BA8" s="311">
        <f t="shared" si="22"/>
        <v>1.6490444689807191</v>
      </c>
      <c r="BB8" s="311">
        <f t="shared" si="23"/>
        <v>1.5384991444388927</v>
      </c>
      <c r="BC8" s="311">
        <f t="shared" si="24"/>
        <v>2.0148155141112505</v>
      </c>
      <c r="BD8" s="311">
        <f t="shared" si="25"/>
        <v>2.2130300972541823</v>
      </c>
    </row>
    <row r="9" spans="1:56" ht="15">
      <c r="A9" s="53" t="str">
        <f>VLOOKUP(CONCATENATE($C9," - ",$B9),[2]ACHIEV!$B$12:$C$78,2,FALSE)</f>
        <v>LO12MEd</v>
      </c>
      <c r="B9" s="53" t="str">
        <f>'SC-New'!$C$7</f>
        <v>New</v>
      </c>
      <c r="C9" s="53" t="str">
        <f>'SC-New'!$C$8</f>
        <v>Showerheads</v>
      </c>
      <c r="D9" s="53" t="s">
        <v>219</v>
      </c>
      <c r="E9" s="53" t="str">
        <f>'SC-New'!$A$9</f>
        <v>Water Heating</v>
      </c>
      <c r="F9" s="310">
        <f t="shared" si="1"/>
        <v>1.3268380300690299E-2</v>
      </c>
      <c r="G9" s="55">
        <f>'SC-New'!A50</f>
        <v>68.562066880880366</v>
      </c>
      <c r="H9" s="55">
        <f>'SC-New'!B50</f>
        <v>-134.16702760464855</v>
      </c>
      <c r="I9" s="7" t="str">
        <f>'SC-New'!C50</f>
        <v>Multifamily - High Rise</v>
      </c>
      <c r="J9" s="7" t="str">
        <f>'SC-New'!D50</f>
        <v>MF Showerhead Replace_1_75gpm_Any Shower_ AnyWH</v>
      </c>
      <c r="K9" s="26">
        <f ca="1">'SC-New'!E50</f>
        <v>2.7671404708296101E-3</v>
      </c>
      <c r="L9" s="26">
        <f ca="1">'SC-New'!F50</f>
        <v>5.5488036742113488E-3</v>
      </c>
      <c r="M9" s="26">
        <f ca="1">'SC-New'!G50</f>
        <v>8.3729357565764054E-3</v>
      </c>
      <c r="N9" s="26">
        <f ca="1">'SC-New'!H50</f>
        <v>1.0559517730123048E-2</v>
      </c>
      <c r="O9" s="26">
        <f ca="1">'SC-New'!I50</f>
        <v>1.2200570873762044E-2</v>
      </c>
      <c r="P9" s="26">
        <f ca="1">'SC-New'!J50</f>
        <v>1.4087554698703843E-2</v>
      </c>
      <c r="Q9" s="26">
        <f ca="1">'SC-New'!K50</f>
        <v>1.5709001488920345E-2</v>
      </c>
      <c r="R9" s="26">
        <f ca="1">'SC-New'!L50</f>
        <v>1.7609507238420329E-2</v>
      </c>
      <c r="S9" s="26">
        <f ca="1">'SC-New'!M50</f>
        <v>1.9058008239359405E-2</v>
      </c>
      <c r="T9" s="26">
        <f ca="1">'SC-New'!N50</f>
        <v>2.0516325836397942E-2</v>
      </c>
      <c r="U9" s="26">
        <f ca="1">'SC-New'!O50</f>
        <v>2.1101893818328894E-2</v>
      </c>
      <c r="V9" s="26">
        <f ca="1">'SC-New'!P50</f>
        <v>2.1664192461902983E-2</v>
      </c>
      <c r="W9" s="26">
        <f ca="1">'SC-New'!Q50</f>
        <v>2.198616528448992E-2</v>
      </c>
      <c r="X9" s="26">
        <f ca="1">'SC-New'!R50</f>
        <v>2.2295565209728391E-2</v>
      </c>
      <c r="Y9" s="26">
        <f ca="1">'SC-New'!S50</f>
        <v>2.2432239528940932E-2</v>
      </c>
      <c r="Z9" s="26">
        <f ca="1">'SC-New'!T50</f>
        <v>2.2193026956382894E-2</v>
      </c>
      <c r="AA9" s="26">
        <f ca="1">'SC-New'!U50</f>
        <v>2.1842415358754304E-2</v>
      </c>
      <c r="AB9" s="26">
        <f ca="1">'SC-New'!V50</f>
        <v>2.1339890111574646E-2</v>
      </c>
      <c r="AC9" s="26">
        <f ca="1">'SC-New'!W50</f>
        <v>2.125862930203273E-2</v>
      </c>
      <c r="AD9" s="26">
        <f ca="1">'SC-New'!X50</f>
        <v>2.1161842248431127E-2</v>
      </c>
      <c r="AE9" s="26">
        <f ca="1">'SC-New'!Y50</f>
        <v>0.3437052262878712</v>
      </c>
      <c r="AF9" s="311">
        <f t="shared" si="2"/>
        <v>4.5333195837422968</v>
      </c>
      <c r="AG9" s="311">
        <f t="shared" si="3"/>
        <v>4.0610917488864722</v>
      </c>
      <c r="AH9" s="311">
        <f t="shared" si="4"/>
        <v>4.6718066927566548</v>
      </c>
      <c r="AI9" s="311">
        <f t="shared" si="5"/>
        <v>4.0516436742261437</v>
      </c>
      <c r="AJ9" s="311">
        <f t="shared" si="6"/>
        <v>3.8645587368795637</v>
      </c>
      <c r="AK9" s="311">
        <f t="shared" si="7"/>
        <v>3.7678699611599864</v>
      </c>
      <c r="AL9" s="311">
        <f t="shared" si="8"/>
        <v>3.188877478151217</v>
      </c>
      <c r="AM9" s="311">
        <f t="shared" si="9"/>
        <v>3.3349023724222464</v>
      </c>
      <c r="AN9" s="311">
        <f t="shared" si="10"/>
        <v>3.1286247642434293</v>
      </c>
      <c r="AO9" s="311">
        <f t="shared" si="11"/>
        <v>3.777249151986021</v>
      </c>
      <c r="AP9" s="311">
        <f t="shared" si="12"/>
        <v>3.871532855380178</v>
      </c>
      <c r="AQ9" s="311">
        <f t="shared" si="13"/>
        <v>4.5013477018471981</v>
      </c>
      <c r="AR9" s="311"/>
      <c r="AS9" s="311">
        <f t="shared" si="14"/>
        <v>2.2747439547058668</v>
      </c>
      <c r="AT9" s="311">
        <f t="shared" si="15"/>
        <v>1.905376802721265</v>
      </c>
      <c r="AU9" s="311">
        <f t="shared" si="16"/>
        <v>1.8191676007137088</v>
      </c>
      <c r="AV9" s="311">
        <f t="shared" si="17"/>
        <v>1.8923641424170692</v>
      </c>
      <c r="AW9" s="311">
        <f t="shared" si="18"/>
        <v>1.8910330512772526</v>
      </c>
      <c r="AX9" s="311">
        <f t="shared" si="19"/>
        <v>1.5678797290009545</v>
      </c>
      <c r="AY9" s="311">
        <f t="shared" si="20"/>
        <v>1.7048209065288624</v>
      </c>
      <c r="AZ9" s="311">
        <f t="shared" si="21"/>
        <v>1.3384667470489338</v>
      </c>
      <c r="BA9" s="311">
        <f t="shared" si="22"/>
        <v>1.6490444689807191</v>
      </c>
      <c r="BB9" s="311">
        <f t="shared" si="23"/>
        <v>1.5384991444388927</v>
      </c>
      <c r="BC9" s="311">
        <f t="shared" si="24"/>
        <v>2.0148155141112505</v>
      </c>
      <c r="BD9" s="311">
        <f t="shared" si="25"/>
        <v>2.2130300972541823</v>
      </c>
    </row>
    <row r="10" spans="1:56" ht="15">
      <c r="A10" s="53" t="str">
        <f>VLOOKUP(CONCATENATE($C10," - ",$B10),[2]ACHIEV!$B$12:$C$78,2,FALSE)</f>
        <v>LO12MEd</v>
      </c>
      <c r="B10" s="53" t="str">
        <f>'SC-New'!$C$7</f>
        <v>New</v>
      </c>
      <c r="C10" s="53" t="str">
        <f>'SC-New'!$C$8</f>
        <v>Showerheads</v>
      </c>
      <c r="D10" s="53" t="s">
        <v>219</v>
      </c>
      <c r="E10" s="53" t="str">
        <f>'SC-New'!$A$9</f>
        <v>Water Heating</v>
      </c>
      <c r="F10" s="310">
        <f t="shared" si="1"/>
        <v>1.628329105022289E-2</v>
      </c>
      <c r="G10" s="55">
        <f>'SC-New'!A51</f>
        <v>84.141098214387171</v>
      </c>
      <c r="H10" s="55">
        <f>'SC-New'!B51</f>
        <v>-143.66876563424663</v>
      </c>
      <c r="I10" s="7" t="str">
        <f>'SC-New'!C51</f>
        <v>Manufactured</v>
      </c>
      <c r="J10" s="7" t="str">
        <f>'SC-New'!D51</f>
        <v>MH Showerhead Replace_1_75gpm_Any Shower_ AnyWH</v>
      </c>
      <c r="K10" s="26">
        <f ca="1">'SC-New'!E51</f>
        <v>9.3542788455912643E-4</v>
      </c>
      <c r="L10" s="26">
        <f ca="1">'SC-New'!F51</f>
        <v>1.8830850393549367E-3</v>
      </c>
      <c r="M10" s="26">
        <f ca="1">'SC-New'!G51</f>
        <v>2.9257033090779728E-3</v>
      </c>
      <c r="N10" s="26">
        <f ca="1">'SC-New'!H51</f>
        <v>4.0451611226209163E-3</v>
      </c>
      <c r="O10" s="26">
        <f ca="1">'SC-New'!I51</f>
        <v>4.9021203085319546E-3</v>
      </c>
      <c r="P10" s="26">
        <f ca="1">'SC-New'!J51</f>
        <v>5.6931967578153558E-3</v>
      </c>
      <c r="Q10" s="26">
        <f ca="1">'SC-New'!K51</f>
        <v>6.4091174571947228E-3</v>
      </c>
      <c r="R10" s="26">
        <f ca="1">'SC-New'!L51</f>
        <v>7.0060070492087003E-3</v>
      </c>
      <c r="S10" s="26">
        <f ca="1">'SC-New'!M51</f>
        <v>7.4955470707367194E-3</v>
      </c>
      <c r="T10" s="26">
        <f ca="1">'SC-New'!N51</f>
        <v>7.8613798147237814E-3</v>
      </c>
      <c r="U10" s="26">
        <f ca="1">'SC-New'!O51</f>
        <v>8.1062583984951881E-3</v>
      </c>
      <c r="V10" s="26">
        <f ca="1">'SC-New'!P51</f>
        <v>8.3273393629085396E-3</v>
      </c>
      <c r="W10" s="26">
        <f ca="1">'SC-New'!Q51</f>
        <v>8.5231215984991372E-3</v>
      </c>
      <c r="X10" s="26">
        <f ca="1">'SC-New'!R51</f>
        <v>8.6798935441364574E-3</v>
      </c>
      <c r="Y10" s="26">
        <f ca="1">'SC-New'!S51</f>
        <v>8.8009224244154933E-3</v>
      </c>
      <c r="Z10" s="26">
        <f ca="1">'SC-New'!T51</f>
        <v>8.8908658043931749E-3</v>
      </c>
      <c r="AA10" s="26">
        <f ca="1">'SC-New'!U51</f>
        <v>8.8854608664403565E-3</v>
      </c>
      <c r="AB10" s="26">
        <f ca="1">'SC-New'!V51</f>
        <v>8.8866682050558199E-3</v>
      </c>
      <c r="AC10" s="26">
        <f ca="1">'SC-New'!W51</f>
        <v>8.8894456833061367E-3</v>
      </c>
      <c r="AD10" s="26">
        <f ca="1">'SC-New'!X51</f>
        <v>8.8905204024250784E-3</v>
      </c>
      <c r="AE10" s="26">
        <f ca="1">'SC-New'!Y51</f>
        <v>0.13603724210389956</v>
      </c>
      <c r="AF10" s="311">
        <f t="shared" si="2"/>
        <v>5.5634041633484603</v>
      </c>
      <c r="AG10" s="311">
        <f t="shared" si="3"/>
        <v>4.9838742506752505</v>
      </c>
      <c r="AH10" s="311">
        <f t="shared" si="4"/>
        <v>5.7333590373934422</v>
      </c>
      <c r="AI10" s="311">
        <f t="shared" si="5"/>
        <v>4.9722793350885786</v>
      </c>
      <c r="AJ10" s="311">
        <f t="shared" si="6"/>
        <v>4.7426839800497591</v>
      </c>
      <c r="AK10" s="311">
        <f t="shared" si="7"/>
        <v>4.6240250751456164</v>
      </c>
      <c r="AL10" s="311">
        <f t="shared" si="8"/>
        <v>3.9134708927159396</v>
      </c>
      <c r="AM10" s="311">
        <f t="shared" si="9"/>
        <v>4.0926763269971298</v>
      </c>
      <c r="AN10" s="311">
        <f t="shared" si="10"/>
        <v>3.839527242105075</v>
      </c>
      <c r="AO10" s="311">
        <f t="shared" si="11"/>
        <v>4.6355354547529872</v>
      </c>
      <c r="AP10" s="311">
        <f t="shared" si="12"/>
        <v>4.7512427942223017</v>
      </c>
      <c r="AQ10" s="311">
        <f t="shared" si="13"/>
        <v>5.5241674632748143</v>
      </c>
      <c r="AR10" s="311"/>
      <c r="AS10" s="311">
        <f t="shared" si="14"/>
        <v>2.7916231702586645</v>
      </c>
      <c r="AT10" s="311">
        <f t="shared" si="15"/>
        <v>2.3383264826558623</v>
      </c>
      <c r="AU10" s="311">
        <f t="shared" si="16"/>
        <v>2.2325283749981053</v>
      </c>
      <c r="AV10" s="311">
        <f t="shared" si="17"/>
        <v>2.3223570176368442</v>
      </c>
      <c r="AW10" s="311">
        <f t="shared" si="18"/>
        <v>2.320723469008239</v>
      </c>
      <c r="AX10" s="311">
        <f t="shared" si="19"/>
        <v>1.9241415591425954</v>
      </c>
      <c r="AY10" s="311">
        <f t="shared" si="20"/>
        <v>2.0921992270654211</v>
      </c>
      <c r="AZ10" s="311">
        <f t="shared" si="21"/>
        <v>1.6426001598785167</v>
      </c>
      <c r="BA10" s="311">
        <f t="shared" si="22"/>
        <v>2.02374897573416</v>
      </c>
      <c r="BB10" s="311">
        <f t="shared" si="23"/>
        <v>1.8880849645313567</v>
      </c>
      <c r="BC10" s="311">
        <f t="shared" si="24"/>
        <v>2.4726324302802127</v>
      </c>
      <c r="BD10" s="311">
        <f t="shared" si="25"/>
        <v>2.7158863674278422</v>
      </c>
    </row>
    <row r="11" spans="1:56" ht="15">
      <c r="A11" s="53" t="str">
        <f>VLOOKUP(CONCATENATE($C11," - ",$B11),[2]ACHIEV!$B$12:$C$78,2,FALSE)</f>
        <v>LO12MEd</v>
      </c>
      <c r="B11" s="53" t="str">
        <f>'SC-New'!$C$7</f>
        <v>New</v>
      </c>
      <c r="C11" s="53" t="str">
        <f>'SC-New'!$C$8</f>
        <v>Showerheads</v>
      </c>
      <c r="D11" s="53" t="s">
        <v>219</v>
      </c>
      <c r="E11" s="53" t="str">
        <f>'SC-New'!$A$9</f>
        <v>Water Heating</v>
      </c>
      <c r="F11" s="310">
        <f t="shared" si="1"/>
        <v>1.1404455776372774E-2</v>
      </c>
      <c r="G11" s="55">
        <f>'SC-New'!A52</f>
        <v>58.930558362050633</v>
      </c>
      <c r="H11" s="55">
        <f>'SC-New'!B52</f>
        <v>-230.16854242343911</v>
      </c>
      <c r="I11" s="7" t="str">
        <f>'SC-New'!C52</f>
        <v>Single Family</v>
      </c>
      <c r="J11" s="7" t="str">
        <f>'SC-New'!D52</f>
        <v>SF Showerhead Replace_1_50gpm_Any Shower_ AnyWH</v>
      </c>
      <c r="K11" s="26">
        <f ca="1">'SC-New'!E52</f>
        <v>3.1643049397808438E-2</v>
      </c>
      <c r="L11" s="26">
        <f ca="1">'SC-New'!F52</f>
        <v>6.0536033332979855E-2</v>
      </c>
      <c r="M11" s="26">
        <f ca="1">'SC-New'!G52</f>
        <v>8.606746466250674E-2</v>
      </c>
      <c r="N11" s="26">
        <f ca="1">'SC-New'!H52</f>
        <v>0.1110235693722417</v>
      </c>
      <c r="O11" s="26">
        <f ca="1">'SC-New'!I52</f>
        <v>0.13504978402941173</v>
      </c>
      <c r="P11" s="26">
        <f ca="1">'SC-New'!J52</f>
        <v>0.1518373959012618</v>
      </c>
      <c r="Q11" s="26">
        <f ca="1">'SC-New'!K52</f>
        <v>0.16562021835741003</v>
      </c>
      <c r="R11" s="26">
        <f ca="1">'SC-New'!L52</f>
        <v>0.17916923740941976</v>
      </c>
      <c r="S11" s="26">
        <f ca="1">'SC-New'!M52</f>
        <v>0.18867609878149411</v>
      </c>
      <c r="T11" s="26">
        <f ca="1">'SC-New'!N52</f>
        <v>0.20127429190404977</v>
      </c>
      <c r="U11" s="26">
        <f ca="1">'SC-New'!O52</f>
        <v>0.2101274705149121</v>
      </c>
      <c r="V11" s="26">
        <f ca="1">'SC-New'!P52</f>
        <v>0.21331130141731861</v>
      </c>
      <c r="W11" s="26">
        <f ca="1">'SC-New'!Q52</f>
        <v>0.21224089157345885</v>
      </c>
      <c r="X11" s="26">
        <f ca="1">'SC-New'!R52</f>
        <v>0.2161287295081489</v>
      </c>
      <c r="Y11" s="26">
        <f ca="1">'SC-New'!S52</f>
        <v>0.22161926302911661</v>
      </c>
      <c r="Z11" s="26">
        <f ca="1">'SC-New'!T52</f>
        <v>0.22303892476151826</v>
      </c>
      <c r="AA11" s="26">
        <f ca="1">'SC-New'!U52</f>
        <v>0.21567616556207439</v>
      </c>
      <c r="AB11" s="26">
        <f ca="1">'SC-New'!V52</f>
        <v>0.21531264480917614</v>
      </c>
      <c r="AC11" s="26">
        <f ca="1">'SC-New'!W52</f>
        <v>0.2158613480362081</v>
      </c>
      <c r="AD11" s="26">
        <f ca="1">'SC-New'!X52</f>
        <v>0.21732742816642986</v>
      </c>
      <c r="AE11" s="26">
        <f ca="1">'SC-New'!Y52</f>
        <v>3.4715413105269461</v>
      </c>
      <c r="AF11" s="311">
        <f t="shared" si="2"/>
        <v>3.8964848415042734</v>
      </c>
      <c r="AG11" s="311">
        <f t="shared" si="3"/>
        <v>3.4905949486207137</v>
      </c>
      <c r="AH11" s="311">
        <f t="shared" si="4"/>
        <v>4.0155174645192915</v>
      </c>
      <c r="AI11" s="311">
        <f t="shared" si="5"/>
        <v>3.4824741269986519</v>
      </c>
      <c r="AJ11" s="311">
        <f t="shared" si="6"/>
        <v>3.3216706343309341</v>
      </c>
      <c r="AK11" s="311">
        <f t="shared" si="7"/>
        <v>3.2385645700053449</v>
      </c>
      <c r="AL11" s="311">
        <f t="shared" si="8"/>
        <v>2.7409081856023261</v>
      </c>
      <c r="AM11" s="311">
        <f t="shared" si="9"/>
        <v>2.8664196957658405</v>
      </c>
      <c r="AN11" s="311">
        <f t="shared" si="10"/>
        <v>2.6891196932923749</v>
      </c>
      <c r="AO11" s="311">
        <f t="shared" si="11"/>
        <v>3.2466261845030928</v>
      </c>
      <c r="AP11" s="311">
        <f t="shared" si="12"/>
        <v>3.3276650378841168</v>
      </c>
      <c r="AQ11" s="311">
        <f t="shared" si="13"/>
        <v>3.8690043273121151</v>
      </c>
      <c r="AR11" s="311"/>
      <c r="AS11" s="311">
        <f t="shared" si="14"/>
        <v>1.9551909310788074</v>
      </c>
      <c r="AT11" s="311">
        <f t="shared" si="15"/>
        <v>1.6377119883148592</v>
      </c>
      <c r="AU11" s="311">
        <f t="shared" si="16"/>
        <v>1.5636133410398478</v>
      </c>
      <c r="AV11" s="311">
        <f t="shared" si="17"/>
        <v>1.6265273293279261</v>
      </c>
      <c r="AW11" s="311">
        <f t="shared" si="18"/>
        <v>1.6253832281117762</v>
      </c>
      <c r="AX11" s="311">
        <f t="shared" si="19"/>
        <v>1.3476260573517365</v>
      </c>
      <c r="AY11" s="311">
        <f t="shared" si="20"/>
        <v>1.465329919291855</v>
      </c>
      <c r="AZ11" s="311">
        <f t="shared" si="21"/>
        <v>1.1504407078285916</v>
      </c>
      <c r="BA11" s="311">
        <f t="shared" si="22"/>
        <v>1.4173888819560225</v>
      </c>
      <c r="BB11" s="311">
        <f t="shared" si="23"/>
        <v>1.322372818468873</v>
      </c>
      <c r="BC11" s="311">
        <f t="shared" si="24"/>
        <v>1.7317768942028355</v>
      </c>
      <c r="BD11" s="311">
        <f t="shared" si="25"/>
        <v>1.9021465547384266</v>
      </c>
    </row>
    <row r="12" spans="1:56" ht="15">
      <c r="A12" s="53" t="str">
        <f>VLOOKUP(CONCATENATE($C12," - ",$B12),[2]ACHIEV!$B$12:$C$78,2,FALSE)</f>
        <v>LO12MEd</v>
      </c>
      <c r="B12" s="53" t="str">
        <f>'SC-New'!$C$7</f>
        <v>New</v>
      </c>
      <c r="C12" s="53" t="str">
        <f>'SC-New'!$C$8</f>
        <v>Showerheads</v>
      </c>
      <c r="D12" s="53" t="s">
        <v>219</v>
      </c>
      <c r="E12" s="53" t="str">
        <f>'SC-New'!$A$9</f>
        <v>Water Heating</v>
      </c>
      <c r="F12" s="310">
        <f t="shared" si="1"/>
        <v>1.3810766777781352E-2</v>
      </c>
      <c r="G12" s="55">
        <f>'SC-New'!A53</f>
        <v>71.364755458902735</v>
      </c>
      <c r="H12" s="55">
        <f>'SC-New'!B53</f>
        <v>-129.37879763441686</v>
      </c>
      <c r="I12" s="7" t="str">
        <f>'SC-New'!C53</f>
        <v>Multifamily - Low Rise</v>
      </c>
      <c r="J12" s="7" t="str">
        <f>'SC-New'!D53</f>
        <v>MF Showerhead Replace_1_50gpm_Any Shower_ AnyWH</v>
      </c>
      <c r="K12" s="26">
        <f ca="1">'SC-New'!E53</f>
        <v>1.2830136975418818E-2</v>
      </c>
      <c r="L12" s="26">
        <f ca="1">'SC-New'!F53</f>
        <v>2.5370465984975492E-2</v>
      </c>
      <c r="M12" s="26">
        <f ca="1">'SC-New'!G53</f>
        <v>3.7715425045570974E-2</v>
      </c>
      <c r="N12" s="26">
        <f ca="1">'SC-New'!H53</f>
        <v>4.8687475514310512E-2</v>
      </c>
      <c r="O12" s="26">
        <f ca="1">'SC-New'!I53</f>
        <v>5.7365106288578063E-2</v>
      </c>
      <c r="P12" s="26">
        <f ca="1">'SC-New'!J53</f>
        <v>6.5260030177004977E-2</v>
      </c>
      <c r="Q12" s="26">
        <f ca="1">'SC-New'!K53</f>
        <v>7.2558326622628802E-2</v>
      </c>
      <c r="R12" s="26">
        <f ca="1">'SC-New'!L53</f>
        <v>8.033792824086225E-2</v>
      </c>
      <c r="S12" s="26">
        <f ca="1">'SC-New'!M53</f>
        <v>8.7561854040771853E-2</v>
      </c>
      <c r="T12" s="26">
        <f ca="1">'SC-New'!N53</f>
        <v>9.4271944827652054E-2</v>
      </c>
      <c r="U12" s="26">
        <f ca="1">'SC-New'!O53</f>
        <v>9.8144055815617734E-2</v>
      </c>
      <c r="V12" s="26">
        <f ca="1">'SC-New'!P53</f>
        <v>0.100954593159075</v>
      </c>
      <c r="W12" s="26">
        <f ca="1">'SC-New'!Q53</f>
        <v>0.10334648574683518</v>
      </c>
      <c r="X12" s="26">
        <f ca="1">'SC-New'!R53</f>
        <v>0.10398615509867432</v>
      </c>
      <c r="Y12" s="26">
        <f ca="1">'SC-New'!S53</f>
        <v>0.10412755867824275</v>
      </c>
      <c r="Z12" s="26">
        <f ca="1">'SC-New'!T53</f>
        <v>0.10309017525466344</v>
      </c>
      <c r="AA12" s="26">
        <f ca="1">'SC-New'!U53</f>
        <v>0.10133993786958866</v>
      </c>
      <c r="AB12" s="26">
        <f ca="1">'SC-New'!V53</f>
        <v>0.10005775146313288</v>
      </c>
      <c r="AC12" s="26">
        <f ca="1">'SC-New'!W53</f>
        <v>9.8132126185548327E-2</v>
      </c>
      <c r="AD12" s="26">
        <f ca="1">'SC-New'!X53</f>
        <v>9.7761165439927036E-2</v>
      </c>
      <c r="AE12" s="26">
        <f ca="1">'SC-New'!Y53</f>
        <v>1.5928986984290789</v>
      </c>
      <c r="AF12" s="311">
        <f t="shared" si="2"/>
        <v>4.7186331776272974</v>
      </c>
      <c r="AG12" s="311">
        <f t="shared" si="3"/>
        <v>4.2271015554268745</v>
      </c>
      <c r="AH12" s="311">
        <f t="shared" si="4"/>
        <v>4.8627813796672239</v>
      </c>
      <c r="AI12" s="311">
        <f t="shared" si="5"/>
        <v>4.217267261211922</v>
      </c>
      <c r="AJ12" s="311">
        <f t="shared" si="6"/>
        <v>4.0225346428534454</v>
      </c>
      <c r="AK12" s="311">
        <f t="shared" si="7"/>
        <v>3.9218934115026363</v>
      </c>
      <c r="AL12" s="311">
        <f t="shared" si="8"/>
        <v>3.319232802769057</v>
      </c>
      <c r="AM12" s="311">
        <f t="shared" si="9"/>
        <v>3.4712269205757682</v>
      </c>
      <c r="AN12" s="311">
        <f t="shared" si="10"/>
        <v>3.2565170710330933</v>
      </c>
      <c r="AO12" s="311">
        <f t="shared" si="11"/>
        <v>3.9316560060414685</v>
      </c>
      <c r="AP12" s="311">
        <f t="shared" si="12"/>
        <v>4.0297938502253947</v>
      </c>
      <c r="AQ12" s="311">
        <f t="shared" si="13"/>
        <v>4.6853543452232387</v>
      </c>
      <c r="AR12" s="311"/>
      <c r="AS12" s="311">
        <f t="shared" si="14"/>
        <v>2.3677312170481208</v>
      </c>
      <c r="AT12" s="311">
        <f t="shared" si="15"/>
        <v>1.9832650293275851</v>
      </c>
      <c r="AU12" s="311">
        <f t="shared" si="16"/>
        <v>1.8935317569881531</v>
      </c>
      <c r="AV12" s="311">
        <f t="shared" si="17"/>
        <v>1.9697204358996749</v>
      </c>
      <c r="AW12" s="311">
        <f t="shared" si="18"/>
        <v>1.9683349322530075</v>
      </c>
      <c r="AX12" s="311">
        <f t="shared" si="19"/>
        <v>1.6319717088389953</v>
      </c>
      <c r="AY12" s="311">
        <f t="shared" si="20"/>
        <v>1.7745107846155839</v>
      </c>
      <c r="AZ12" s="311">
        <f t="shared" si="21"/>
        <v>1.3931807548768238</v>
      </c>
      <c r="BA12" s="311">
        <f t="shared" si="22"/>
        <v>1.7164543110132393</v>
      </c>
      <c r="BB12" s="311">
        <f t="shared" si="23"/>
        <v>1.6013901011381362</v>
      </c>
      <c r="BC12" s="311">
        <f t="shared" si="24"/>
        <v>2.0971773897827175</v>
      </c>
      <c r="BD12" s="311">
        <f t="shared" si="25"/>
        <v>2.3034946129632865</v>
      </c>
    </row>
    <row r="13" spans="1:56" ht="15">
      <c r="A13" s="53" t="str">
        <f>VLOOKUP(CONCATENATE($C13," - ",$B13),[2]ACHIEV!$B$12:$C$78,2,FALSE)</f>
        <v>LO12MEd</v>
      </c>
      <c r="B13" s="53" t="str">
        <f>'SC-New'!$C$7</f>
        <v>New</v>
      </c>
      <c r="C13" s="53" t="str">
        <f>'SC-New'!$C$8</f>
        <v>Showerheads</v>
      </c>
      <c r="D13" s="53" t="s">
        <v>219</v>
      </c>
      <c r="E13" s="53" t="str">
        <f>'SC-New'!$A$9</f>
        <v>Water Heating</v>
      </c>
      <c r="F13" s="310">
        <f t="shared" si="1"/>
        <v>1.3810766777781352E-2</v>
      </c>
      <c r="G13" s="55">
        <f>'SC-New'!A54</f>
        <v>71.364755458902735</v>
      </c>
      <c r="H13" s="55">
        <f>'SC-New'!B54</f>
        <v>-129.37879763441686</v>
      </c>
      <c r="I13" s="7" t="str">
        <f>'SC-New'!C54</f>
        <v>Multifamily - High Rise</v>
      </c>
      <c r="J13" s="7" t="str">
        <f>'SC-New'!D54</f>
        <v>MF Showerhead Replace_1_50gpm_Any Shower_ AnyWH</v>
      </c>
      <c r="K13" s="26">
        <f ca="1">'SC-New'!E54</f>
        <v>2.8802559783427059E-3</v>
      </c>
      <c r="L13" s="26">
        <f ca="1">'SC-New'!F54</f>
        <v>5.7756283512797914E-3</v>
      </c>
      <c r="M13" s="26">
        <f ca="1">'SC-New'!G54</f>
        <v>8.7152056512434187E-3</v>
      </c>
      <c r="N13" s="26">
        <f ca="1">'SC-New'!H54</f>
        <v>1.0991170990854801E-2</v>
      </c>
      <c r="O13" s="26">
        <f ca="1">'SC-New'!I54</f>
        <v>1.269930730614899E-2</v>
      </c>
      <c r="P13" s="26">
        <f ca="1">'SC-New'!J54</f>
        <v>1.4663427487295827E-2</v>
      </c>
      <c r="Q13" s="26">
        <f ca="1">'SC-New'!K54</f>
        <v>1.6351155978247899E-2</v>
      </c>
      <c r="R13" s="26">
        <f ca="1">'SC-New'!L54</f>
        <v>1.8329350834843269E-2</v>
      </c>
      <c r="S13" s="26">
        <f ca="1">'SC-New'!M54</f>
        <v>1.9837063837334735E-2</v>
      </c>
      <c r="T13" s="26">
        <f ca="1">'SC-New'!N54</f>
        <v>2.1354994719944873E-2</v>
      </c>
      <c r="U13" s="26">
        <f ca="1">'SC-New'!O54</f>
        <v>2.1964499621651954E-2</v>
      </c>
      <c r="V13" s="26">
        <f ca="1">'SC-New'!P54</f>
        <v>2.2549783978135202E-2</v>
      </c>
      <c r="W13" s="26">
        <f ca="1">'SC-New'!Q54</f>
        <v>2.2884918445248783E-2</v>
      </c>
      <c r="X13" s="26">
        <f ca="1">'SC-New'!R54</f>
        <v>2.3206966058574217E-2</v>
      </c>
      <c r="Y13" s="26">
        <f ca="1">'SC-New'!S54</f>
        <v>2.33492273673685E-2</v>
      </c>
      <c r="Z13" s="26">
        <f ca="1">'SC-New'!T54</f>
        <v>2.3100236233933751E-2</v>
      </c>
      <c r="AA13" s="26">
        <f ca="1">'SC-New'!U54</f>
        <v>2.2735292292420269E-2</v>
      </c>
      <c r="AB13" s="26">
        <f ca="1">'SC-New'!V54</f>
        <v>2.2212224756559533E-2</v>
      </c>
      <c r="AC13" s="26">
        <f ca="1">'SC-New'!W54</f>
        <v>2.2127642157679796E-2</v>
      </c>
      <c r="AD13" s="26">
        <f ca="1">'SC-New'!X54</f>
        <v>2.2026898631031647E-2</v>
      </c>
      <c r="AE13" s="26">
        <f ca="1">'SC-New'!Y54</f>
        <v>0.35775525067813996</v>
      </c>
      <c r="AF13" s="311">
        <f t="shared" si="2"/>
        <v>4.7186331776272974</v>
      </c>
      <c r="AG13" s="311">
        <f t="shared" si="3"/>
        <v>4.2271015554268745</v>
      </c>
      <c r="AH13" s="311">
        <f t="shared" si="4"/>
        <v>4.8627813796672239</v>
      </c>
      <c r="AI13" s="311">
        <f t="shared" si="5"/>
        <v>4.217267261211922</v>
      </c>
      <c r="AJ13" s="311">
        <f t="shared" si="6"/>
        <v>4.0225346428534454</v>
      </c>
      <c r="AK13" s="311">
        <f t="shared" si="7"/>
        <v>3.9218934115026363</v>
      </c>
      <c r="AL13" s="311">
        <f t="shared" si="8"/>
        <v>3.319232802769057</v>
      </c>
      <c r="AM13" s="311">
        <f t="shared" si="9"/>
        <v>3.4712269205757682</v>
      </c>
      <c r="AN13" s="311">
        <f t="shared" si="10"/>
        <v>3.2565170710330933</v>
      </c>
      <c r="AO13" s="311">
        <f t="shared" si="11"/>
        <v>3.9316560060414685</v>
      </c>
      <c r="AP13" s="311">
        <f t="shared" si="12"/>
        <v>4.0297938502253947</v>
      </c>
      <c r="AQ13" s="311">
        <f t="shared" si="13"/>
        <v>4.6853543452232387</v>
      </c>
      <c r="AR13" s="311"/>
      <c r="AS13" s="311">
        <f t="shared" si="14"/>
        <v>2.3677312170481208</v>
      </c>
      <c r="AT13" s="311">
        <f t="shared" si="15"/>
        <v>1.9832650293275851</v>
      </c>
      <c r="AU13" s="311">
        <f t="shared" si="16"/>
        <v>1.8935317569881531</v>
      </c>
      <c r="AV13" s="311">
        <f t="shared" si="17"/>
        <v>1.9697204358996749</v>
      </c>
      <c r="AW13" s="311">
        <f t="shared" si="18"/>
        <v>1.9683349322530075</v>
      </c>
      <c r="AX13" s="311">
        <f t="shared" si="19"/>
        <v>1.6319717088389953</v>
      </c>
      <c r="AY13" s="311">
        <f t="shared" si="20"/>
        <v>1.7745107846155839</v>
      </c>
      <c r="AZ13" s="311">
        <f t="shared" si="21"/>
        <v>1.3931807548768238</v>
      </c>
      <c r="BA13" s="311">
        <f t="shared" si="22"/>
        <v>1.7164543110132393</v>
      </c>
      <c r="BB13" s="311">
        <f t="shared" si="23"/>
        <v>1.6013901011381362</v>
      </c>
      <c r="BC13" s="311">
        <f t="shared" si="24"/>
        <v>2.0971773897827175</v>
      </c>
      <c r="BD13" s="311">
        <f t="shared" si="25"/>
        <v>2.3034946129632865</v>
      </c>
    </row>
    <row r="14" spans="1:56" ht="15">
      <c r="A14" s="53" t="str">
        <f>VLOOKUP(CONCATENATE($C14," - ",$B14),[2]ACHIEV!$B$12:$C$78,2,FALSE)</f>
        <v>LO12MEd</v>
      </c>
      <c r="B14" s="53" t="str">
        <f>'SC-New'!$C$7</f>
        <v>New</v>
      </c>
      <c r="C14" s="53" t="str">
        <f>'SC-New'!$C$8</f>
        <v>Showerheads</v>
      </c>
      <c r="D14" s="53" t="s">
        <v>219</v>
      </c>
      <c r="E14" s="53" t="str">
        <f>'SC-New'!$A$9</f>
        <v>Water Heating</v>
      </c>
      <c r="F14" s="310">
        <f t="shared" si="1"/>
        <v>1.6948921418665028E-2</v>
      </c>
      <c r="G14" s="55">
        <f>'SC-New'!A55</f>
        <v>87.580628345785399</v>
      </c>
      <c r="H14" s="55">
        <f>'SC-New'!B55</f>
        <v>-138.56814270757619</v>
      </c>
      <c r="I14" s="7" t="str">
        <f>'SC-New'!C55</f>
        <v>Manufactured</v>
      </c>
      <c r="J14" s="7" t="str">
        <f>'SC-New'!D55</f>
        <v>MH Showerhead Replace_1_50gpm_Any Shower_ AnyWH</v>
      </c>
      <c r="K14" s="26">
        <f ca="1">'SC-New'!E55</f>
        <v>9.7366642033974303E-4</v>
      </c>
      <c r="L14" s="26">
        <f ca="1">'SC-New'!F55</f>
        <v>1.9600620205246339E-3</v>
      </c>
      <c r="M14" s="26">
        <f ca="1">'SC-New'!G55</f>
        <v>3.0453005677382426E-3</v>
      </c>
      <c r="N14" s="26">
        <f ca="1">'SC-New'!H55</f>
        <v>4.2105197150671967E-3</v>
      </c>
      <c r="O14" s="26">
        <f ca="1">'SC-New'!I55</f>
        <v>5.1025097836725564E-3</v>
      </c>
      <c r="P14" s="26">
        <f ca="1">'SC-New'!J55</f>
        <v>5.9259239530629268E-3</v>
      </c>
      <c r="Q14" s="26">
        <f ca="1">'SC-New'!K55</f>
        <v>6.6711101465880066E-3</v>
      </c>
      <c r="R14" s="26">
        <f ca="1">'SC-New'!L55</f>
        <v>7.2923994645435102E-3</v>
      </c>
      <c r="S14" s="26">
        <f ca="1">'SC-New'!M55</f>
        <v>7.8019509631059823E-3</v>
      </c>
      <c r="T14" s="26">
        <f ca="1">'SC-New'!N55</f>
        <v>8.1827382628654154E-3</v>
      </c>
      <c r="U14" s="26">
        <f ca="1">'SC-New'!O55</f>
        <v>8.4376270234147593E-3</v>
      </c>
      <c r="V14" s="26">
        <f ca="1">'SC-New'!P55</f>
        <v>8.6677453626035246E-3</v>
      </c>
      <c r="W14" s="26">
        <f ca="1">'SC-New'!Q55</f>
        <v>8.8715308084302263E-3</v>
      </c>
      <c r="X14" s="26">
        <f ca="1">'SC-New'!R55</f>
        <v>9.034711296886936E-3</v>
      </c>
      <c r="Y14" s="26">
        <f ca="1">'SC-New'!S55</f>
        <v>9.1606876105763211E-3</v>
      </c>
      <c r="Z14" s="26">
        <f ca="1">'SC-New'!T55</f>
        <v>9.2543077070708774E-3</v>
      </c>
      <c r="AA14" s="26">
        <f ca="1">'SC-New'!U55</f>
        <v>9.2486818254015942E-3</v>
      </c>
      <c r="AB14" s="26">
        <f ca="1">'SC-New'!V55</f>
        <v>9.249938517753041E-3</v>
      </c>
      <c r="AC14" s="26">
        <f ca="1">'SC-New'!W55</f>
        <v>9.2528295340998899E-3</v>
      </c>
      <c r="AD14" s="26">
        <f ca="1">'SC-New'!X55</f>
        <v>9.2539481857187716E-3</v>
      </c>
      <c r="AE14" s="26">
        <f ca="1">'SC-New'!Y55</f>
        <v>0.14159818916946415</v>
      </c>
      <c r="AF14" s="311">
        <f t="shared" si="2"/>
        <v>5.7908256810023788</v>
      </c>
      <c r="AG14" s="311">
        <f t="shared" si="3"/>
        <v>5.1876056734886289</v>
      </c>
      <c r="AH14" s="311">
        <f t="shared" si="4"/>
        <v>5.9677279912308805</v>
      </c>
      <c r="AI14" s="311">
        <f t="shared" si="5"/>
        <v>5.1755367795206695</v>
      </c>
      <c r="AJ14" s="311">
        <f t="shared" si="6"/>
        <v>4.9365559974022917</v>
      </c>
      <c r="AK14" s="311">
        <f t="shared" si="7"/>
        <v>4.8130465392318174</v>
      </c>
      <c r="AL14" s="311">
        <f t="shared" si="8"/>
        <v>4.0734462357944166</v>
      </c>
      <c r="AM14" s="311">
        <f t="shared" si="9"/>
        <v>4.2599772517948988</v>
      </c>
      <c r="AN14" s="311">
        <f t="shared" si="10"/>
        <v>3.9964799075658477</v>
      </c>
      <c r="AO14" s="311">
        <f t="shared" si="11"/>
        <v>4.8250274415483458</v>
      </c>
      <c r="AP14" s="311">
        <f t="shared" si="12"/>
        <v>4.9454646798301845</v>
      </c>
      <c r="AQ14" s="311">
        <f t="shared" si="13"/>
        <v>5.7499850582913554</v>
      </c>
      <c r="AR14" s="311"/>
      <c r="AS14" s="311">
        <f t="shared" si="14"/>
        <v>2.9057394845614448</v>
      </c>
      <c r="AT14" s="311">
        <f t="shared" si="15"/>
        <v>2.4339128793730618</v>
      </c>
      <c r="AU14" s="311">
        <f t="shared" si="16"/>
        <v>2.3237899436959868</v>
      </c>
      <c r="AV14" s="311">
        <f t="shared" si="17"/>
        <v>2.417290612604591</v>
      </c>
      <c r="AW14" s="311">
        <f t="shared" si="18"/>
        <v>2.4155902875748168</v>
      </c>
      <c r="AX14" s="311">
        <f t="shared" si="19"/>
        <v>2.0027968537631131</v>
      </c>
      <c r="AY14" s="311">
        <f t="shared" si="20"/>
        <v>2.1777244036449339</v>
      </c>
      <c r="AZ14" s="311">
        <f t="shared" si="21"/>
        <v>1.7097465706532653</v>
      </c>
      <c r="BA14" s="311">
        <f t="shared" si="22"/>
        <v>2.1064760345454006</v>
      </c>
      <c r="BB14" s="311">
        <f t="shared" si="23"/>
        <v>1.9652663332555782</v>
      </c>
      <c r="BC14" s="311">
        <f t="shared" si="24"/>
        <v>2.5737090019949256</v>
      </c>
      <c r="BD14" s="311">
        <f t="shared" si="25"/>
        <v>2.8269067034165691</v>
      </c>
    </row>
    <row r="15" spans="1:56" ht="15">
      <c r="A15" s="53" t="str">
        <f>VLOOKUP(CONCATENATE($C15," - ",$B15),[2]ACHIEV!$B$12:$C$78,2,FALSE)</f>
        <v>LO12MEd</v>
      </c>
      <c r="B15" s="53" t="str">
        <f>'SC-New'!$C$7</f>
        <v>New</v>
      </c>
      <c r="C15" s="53" t="str">
        <f>'SC-New'!$C$8</f>
        <v>Showerheads</v>
      </c>
      <c r="D15" s="53" t="s">
        <v>219</v>
      </c>
      <c r="E15" s="53" t="str">
        <f>'SC-New'!$A$9</f>
        <v>Water Heating</v>
      </c>
      <c r="F15" s="310">
        <f t="shared" si="1"/>
        <v>3.9445477611198661E-2</v>
      </c>
      <c r="G15" s="55">
        <f>'SC-New'!A56</f>
        <v>186.98267334641028</v>
      </c>
      <c r="H15" s="55">
        <f>'SC-New'!B56</f>
        <v>-231.84961524302932</v>
      </c>
      <c r="I15" s="7" t="str">
        <f>'SC-New'!C56</f>
        <v>Single Family</v>
      </c>
      <c r="J15" s="7" t="str">
        <f>'SC-New'!D56</f>
        <v>SF Showerhead Replace_1_50GPM_any shower_HPWH</v>
      </c>
      <c r="K15" s="26">
        <f ca="1">'SC-New'!E56</f>
        <v>1.369108011581823E-2</v>
      </c>
      <c r="L15" s="26">
        <f ca="1">'SC-New'!F56</f>
        <v>2.6192282287214461E-2</v>
      </c>
      <c r="M15" s="26">
        <f ca="1">'SC-New'!G56</f>
        <v>3.7239032788709228E-2</v>
      </c>
      <c r="N15" s="26">
        <f ca="1">'SC-New'!H56</f>
        <v>4.8036855231934121E-2</v>
      </c>
      <c r="O15" s="26">
        <f ca="1">'SC-New'!I56</f>
        <v>5.8432339738365528E-2</v>
      </c>
      <c r="P15" s="26">
        <f ca="1">'SC-New'!J56</f>
        <v>6.5695879234868013E-2</v>
      </c>
      <c r="Q15" s="26">
        <f ca="1">'SC-New'!K56</f>
        <v>7.1659328714623063E-2</v>
      </c>
      <c r="R15" s="26">
        <f ca="1">'SC-New'!L56</f>
        <v>7.7521617870125889E-2</v>
      </c>
      <c r="S15" s="26">
        <f ca="1">'SC-New'!M56</f>
        <v>8.1634976195953432E-2</v>
      </c>
      <c r="T15" s="26">
        <f ca="1">'SC-New'!N56</f>
        <v>8.7085869034600194E-2</v>
      </c>
      <c r="U15" s="26">
        <f ca="1">'SC-New'!O56</f>
        <v>9.0916396747563258E-2</v>
      </c>
      <c r="V15" s="26">
        <f ca="1">'SC-New'!P56</f>
        <v>9.2293953107952617E-2</v>
      </c>
      <c r="W15" s="26">
        <f ca="1">'SC-New'!Q56</f>
        <v>9.18308161092138E-2</v>
      </c>
      <c r="X15" s="26">
        <f ca="1">'SC-New'!R56</f>
        <v>9.3512977015136028E-2</v>
      </c>
      <c r="Y15" s="26">
        <f ca="1">'SC-New'!S56</f>
        <v>9.5888580370208393E-2</v>
      </c>
      <c r="Z15" s="26">
        <f ca="1">'SC-New'!T56</f>
        <v>9.6502829087875219E-2</v>
      </c>
      <c r="AA15" s="26">
        <f ca="1">'SC-New'!U56</f>
        <v>9.3317165000771002E-2</v>
      </c>
      <c r="AB15" s="26">
        <f ca="1">'SC-New'!V56</f>
        <v>9.3159879535355719E-2</v>
      </c>
      <c r="AC15" s="26">
        <f ca="1">'SC-New'!W56</f>
        <v>9.3397288381344604E-2</v>
      </c>
      <c r="AD15" s="26">
        <f ca="1">'SC-New'!X56</f>
        <v>9.4031621067386703E-2</v>
      </c>
      <c r="AE15" s="26">
        <f ca="1">'SC-New'!Y56</f>
        <v>1.5020407676350194</v>
      </c>
      <c r="AF15" s="311">
        <f t="shared" si="2"/>
        <v>14.532342798891818</v>
      </c>
      <c r="AG15" s="311">
        <f t="shared" si="3"/>
        <v>13.097471830233236</v>
      </c>
      <c r="AH15" s="311">
        <f t="shared" si="4"/>
        <v>14.659036467535334</v>
      </c>
      <c r="AI15" s="311">
        <f t="shared" si="5"/>
        <v>11.502867272316417</v>
      </c>
      <c r="AJ15" s="311">
        <f t="shared" si="6"/>
        <v>9.5555758595819142</v>
      </c>
      <c r="AK15" s="311">
        <f t="shared" si="7"/>
        <v>8.081811432865619</v>
      </c>
      <c r="AL15" s="311">
        <f t="shared" si="8"/>
        <v>6.9010966600759422</v>
      </c>
      <c r="AM15" s="311">
        <f t="shared" si="9"/>
        <v>7.0396350562747934</v>
      </c>
      <c r="AN15" s="311">
        <f t="shared" si="10"/>
        <v>6.9904705483474627</v>
      </c>
      <c r="AO15" s="311">
        <f t="shared" si="11"/>
        <v>9.3773334499331291</v>
      </c>
      <c r="AP15" s="311">
        <f t="shared" si="12"/>
        <v>10.376578782798427</v>
      </c>
      <c r="AQ15" s="311">
        <f t="shared" si="13"/>
        <v>14.147327899417421</v>
      </c>
      <c r="AR15" s="311"/>
      <c r="AS15" s="311">
        <f t="shared" si="14"/>
        <v>7.6412499332619008</v>
      </c>
      <c r="AT15" s="311">
        <f t="shared" si="15"/>
        <v>6.4353046617725349</v>
      </c>
      <c r="AU15" s="311">
        <f t="shared" si="16"/>
        <v>5.8977151351041881</v>
      </c>
      <c r="AV15" s="311">
        <f t="shared" si="17"/>
        <v>5.4934593048825624</v>
      </c>
      <c r="AW15" s="311">
        <f t="shared" si="18"/>
        <v>4.6671024354099417</v>
      </c>
      <c r="AX15" s="311">
        <f t="shared" si="19"/>
        <v>3.5228576351058751</v>
      </c>
      <c r="AY15" s="311">
        <f t="shared" si="20"/>
        <v>3.7000347452330451</v>
      </c>
      <c r="AZ15" s="311">
        <f t="shared" si="21"/>
        <v>3.0630486441228895</v>
      </c>
      <c r="BA15" s="311">
        <f t="shared" si="22"/>
        <v>3.6736062657579009</v>
      </c>
      <c r="BB15" s="311">
        <f t="shared" si="23"/>
        <v>3.8726515254318787</v>
      </c>
      <c r="BC15" s="311">
        <f t="shared" si="24"/>
        <v>5.3938713640329476</v>
      </c>
      <c r="BD15" s="311">
        <f t="shared" si="25"/>
        <v>7.3602236380230961</v>
      </c>
    </row>
    <row r="16" spans="1:56" ht="15">
      <c r="A16" s="53" t="str">
        <f>VLOOKUP(CONCATENATE($C16," - ",$B16),[2]ACHIEV!$B$12:$C$78,2,FALSE)</f>
        <v>LO12MEd</v>
      </c>
      <c r="B16" s="53" t="str">
        <f>'SC-New'!$C$7</f>
        <v>New</v>
      </c>
      <c r="C16" s="53" t="str">
        <f>'SC-New'!$C$8</f>
        <v>Showerheads</v>
      </c>
      <c r="D16" s="53" t="s">
        <v>219</v>
      </c>
      <c r="E16" s="53" t="str">
        <f>'SC-New'!$A$9</f>
        <v>Water Heating</v>
      </c>
      <c r="F16" s="310">
        <f t="shared" si="1"/>
        <v>3.3366714622985523E-2</v>
      </c>
      <c r="G16" s="55">
        <f>'SC-New'!A57</f>
        <v>172.41674324464179</v>
      </c>
      <c r="H16" s="55">
        <f>'SC-New'!B57</f>
        <v>-229.40191815461955</v>
      </c>
      <c r="I16" s="7" t="str">
        <f>'SC-New'!C57</f>
        <v>Manufactured</v>
      </c>
      <c r="J16" s="7" t="str">
        <f>'SC-New'!D57</f>
        <v>MH Showerhead Replace_1_50GPM_any shower_HPWH</v>
      </c>
      <c r="K16" s="26">
        <f ca="1">'SC-New'!E57</f>
        <v>2.3001852766642164E-4</v>
      </c>
      <c r="L16" s="26">
        <f ca="1">'SC-New'!F57</f>
        <v>4.6304419119089246E-4</v>
      </c>
      <c r="M16" s="26">
        <f ca="1">'SC-New'!G57</f>
        <v>7.1942046912581254E-4</v>
      </c>
      <c r="N16" s="26">
        <f ca="1">'SC-New'!H57</f>
        <v>9.9469132891761691E-4</v>
      </c>
      <c r="O16" s="26">
        <f ca="1">'SC-New'!I57</f>
        <v>1.2054146711091688E-3</v>
      </c>
      <c r="P16" s="26">
        <f ca="1">'SC-New'!J57</f>
        <v>1.3999376729774621E-3</v>
      </c>
      <c r="Q16" s="26">
        <f ca="1">'SC-New'!K57</f>
        <v>1.5759801321722396E-3</v>
      </c>
      <c r="R16" s="26">
        <f ca="1">'SC-New'!L57</f>
        <v>1.7227532478776525E-3</v>
      </c>
      <c r="S16" s="26">
        <f ca="1">'SC-New'!M57</f>
        <v>1.8431294701865843E-3</v>
      </c>
      <c r="T16" s="26">
        <f ca="1">'SC-New'!N57</f>
        <v>1.9330864947024085E-3</v>
      </c>
      <c r="U16" s="26">
        <f ca="1">'SC-New'!O57</f>
        <v>1.9933013035892361E-3</v>
      </c>
      <c r="V16" s="26">
        <f ca="1">'SC-New'!P57</f>
        <v>2.0476643590089483E-3</v>
      </c>
      <c r="W16" s="26">
        <f ca="1">'SC-New'!Q57</f>
        <v>2.0958065432618951E-3</v>
      </c>
      <c r="X16" s="26">
        <f ca="1">'SC-New'!R57</f>
        <v>2.1343562302127942E-3</v>
      </c>
      <c r="Y16" s="26">
        <f ca="1">'SC-New'!S57</f>
        <v>2.1641168192506337E-3</v>
      </c>
      <c r="Z16" s="26">
        <f ca="1">'SC-New'!T57</f>
        <v>2.1862335897439127E-3</v>
      </c>
      <c r="AA16" s="26">
        <f ca="1">'SC-New'!U57</f>
        <v>2.1849045339283257E-3</v>
      </c>
      <c r="AB16" s="26">
        <f ca="1">'SC-New'!V57</f>
        <v>2.1852014143776987E-3</v>
      </c>
      <c r="AC16" s="26">
        <f ca="1">'SC-New'!W57</f>
        <v>2.1858843868102179E-3</v>
      </c>
      <c r="AD16" s="26">
        <f ca="1">'SC-New'!X57</f>
        <v>2.1861486565775347E-3</v>
      </c>
      <c r="AE16" s="26">
        <f ca="1">'SC-New'!Y57</f>
        <v>3.3451094042687458E-2</v>
      </c>
      <c r="AF16" s="311">
        <f t="shared" si="2"/>
        <v>11.400184304157397</v>
      </c>
      <c r="AG16" s="311">
        <f t="shared" si="3"/>
        <v>10.212647389659635</v>
      </c>
      <c r="AH16" s="311">
        <f t="shared" si="4"/>
        <v>11.748445338339842</v>
      </c>
      <c r="AI16" s="311">
        <f t="shared" si="5"/>
        <v>10.188887804557041</v>
      </c>
      <c r="AJ16" s="311">
        <f t="shared" si="6"/>
        <v>9.7184151791697744</v>
      </c>
      <c r="AK16" s="311">
        <f t="shared" si="7"/>
        <v>9.4752666777273511</v>
      </c>
      <c r="AL16" s="311">
        <f t="shared" si="8"/>
        <v>8.0192429196200941</v>
      </c>
      <c r="AM16" s="311">
        <f t="shared" si="9"/>
        <v>8.3864596306710713</v>
      </c>
      <c r="AN16" s="311">
        <f t="shared" si="10"/>
        <v>7.8677221563723778</v>
      </c>
      <c r="AO16" s="311">
        <f t="shared" si="11"/>
        <v>9.4988530369207602</v>
      </c>
      <c r="AP16" s="311">
        <f t="shared" si="12"/>
        <v>9.7359533727158816</v>
      </c>
      <c r="AQ16" s="311">
        <f t="shared" si="13"/>
        <v>11.319782881001167</v>
      </c>
      <c r="AR16" s="311"/>
      <c r="AS16" s="311">
        <f t="shared" si="14"/>
        <v>5.7204218342372473</v>
      </c>
      <c r="AT16" s="311">
        <f t="shared" si="15"/>
        <v>4.7915542503970459</v>
      </c>
      <c r="AU16" s="311">
        <f t="shared" si="16"/>
        <v>4.5747593005935805</v>
      </c>
      <c r="AV16" s="311">
        <f t="shared" si="17"/>
        <v>4.7588306087002996</v>
      </c>
      <c r="AW16" s="311">
        <f t="shared" si="18"/>
        <v>4.7554832417125494</v>
      </c>
      <c r="AX16" s="311">
        <f t="shared" si="19"/>
        <v>3.9428320786084941</v>
      </c>
      <c r="AY16" s="311">
        <f t="shared" si="20"/>
        <v>4.2872054751466973</v>
      </c>
      <c r="AZ16" s="311">
        <f t="shared" si="21"/>
        <v>3.3659148267565131</v>
      </c>
      <c r="BA16" s="311">
        <f t="shared" si="22"/>
        <v>4.1469414465177579</v>
      </c>
      <c r="BB16" s="311">
        <f t="shared" si="23"/>
        <v>3.868947131213083</v>
      </c>
      <c r="BC16" s="311">
        <f t="shared" si="24"/>
        <v>5.0667657056691668</v>
      </c>
      <c r="BD16" s="311">
        <f t="shared" si="25"/>
        <v>5.5652266541769624</v>
      </c>
    </row>
    <row r="17" spans="1:56" ht="15">
      <c r="A17" s="53" t="str">
        <f>VLOOKUP(CONCATENATE($C17," - ",$B17),[2]ACHIEV!$B$12:$C$78,2,FALSE)</f>
        <v>Retro12Med</v>
      </c>
      <c r="B17" s="53" t="str">
        <f>'SC-Retro'!$C$7</f>
        <v>Retro</v>
      </c>
      <c r="C17" s="53" t="str">
        <f>'SC-Retro'!$C$8</f>
        <v>Showerheads</v>
      </c>
      <c r="D17" s="53" t="s">
        <v>219</v>
      </c>
      <c r="E17" s="53" t="str">
        <f>'SC-Retro'!$A$9</f>
        <v>Water Heating</v>
      </c>
      <c r="F17" s="310">
        <f t="shared" si="1"/>
        <v>1.8372463059213542E-2</v>
      </c>
      <c r="G17" s="55">
        <f>'SC-Retro'!A61</f>
        <v>94.936534263098281</v>
      </c>
      <c r="H17" s="55">
        <f>'SC-Retro'!B61</f>
        <v>-212.78769031163665</v>
      </c>
      <c r="I17" s="7" t="str">
        <f>'SC-Retro'!C61</f>
        <v>Single Family</v>
      </c>
      <c r="J17" s="7" t="str">
        <f>'SC-Retro'!D61</f>
        <v>SF Showerhead Replace_2_00gpm_Any Shower_ AnyWH</v>
      </c>
      <c r="K17" s="26">
        <f ca="1">'SC-Retro'!E61</f>
        <v>2.9312615190155062</v>
      </c>
      <c r="L17" s="26">
        <f ca="1">'SC-Retro'!F61</f>
        <v>2.973136462518831</v>
      </c>
      <c r="M17" s="26">
        <f ca="1">'SC-Retro'!G61</f>
        <v>3.0105784518144554</v>
      </c>
      <c r="N17" s="26">
        <f ca="1">'SC-Retro'!H61</f>
        <v>3.0435188732812808</v>
      </c>
      <c r="O17" s="26">
        <f ca="1">'SC-Retro'!I61</f>
        <v>3.0730422088658846</v>
      </c>
      <c r="P17" s="26">
        <f ca="1">'SC-Retro'!J61</f>
        <v>2.7895698630055805</v>
      </c>
      <c r="Q17" s="26">
        <f ca="1">'SC-Retro'!K61</f>
        <v>2.2483193993544286</v>
      </c>
      <c r="R17" s="26">
        <f ca="1">'SC-Retro'!L61</f>
        <v>1.8107160820538606</v>
      </c>
      <c r="S17" s="26">
        <f ca="1">'SC-Retro'!M61</f>
        <v>1.4576568184473804</v>
      </c>
      <c r="T17" s="26">
        <f ca="1">'SC-Retro'!N61</f>
        <v>1.1729747448499541</v>
      </c>
      <c r="U17" s="26">
        <f ca="1">'SC-Retro'!O61</f>
        <v>0.94378451914747052</v>
      </c>
      <c r="V17" s="26">
        <f ca="1">'SC-Retro'!P61</f>
        <v>0.75926002033318296</v>
      </c>
      <c r="W17" s="26">
        <f ca="1">'SC-Retro'!Q61</f>
        <v>0.61065169137265607</v>
      </c>
      <c r="X17" s="26">
        <f ca="1">'SC-Retro'!R61</f>
        <v>0.49097034875614787</v>
      </c>
      <c r="Y17" s="26">
        <f ca="1">'SC-Retro'!S61</f>
        <v>0.3947058405524399</v>
      </c>
      <c r="Z17" s="26">
        <f ca="1">'SC-Retro'!T61</f>
        <v>0.31731286238426781</v>
      </c>
      <c r="AA17" s="26">
        <f ca="1">'SC-Retro'!U61</f>
        <v>2.17470287683145E-3</v>
      </c>
      <c r="AB17" s="26">
        <f ca="1">'SC-Retro'!V61</f>
        <v>7.8021918099996054E-4</v>
      </c>
      <c r="AC17" s="26">
        <f ca="1">'SC-Retro'!W61</f>
        <v>2.6718867618346503E-4</v>
      </c>
      <c r="AD17" s="26">
        <f ca="1">'SC-Retro'!X61</f>
        <v>8.7521432899654428E-5</v>
      </c>
      <c r="AE17" s="26">
        <f ca="1">'SC-Retro'!Y61</f>
        <v>30.577952664361511</v>
      </c>
      <c r="AF17" s="311">
        <f t="shared" si="2"/>
        <v>6.2771977212306407</v>
      </c>
      <c r="AG17" s="311">
        <f t="shared" si="3"/>
        <v>5.6233132036931348</v>
      </c>
      <c r="AH17" s="311">
        <f t="shared" si="4"/>
        <v>6.4689580745581079</v>
      </c>
      <c r="AI17" s="311">
        <f t="shared" si="5"/>
        <v>5.610230642088494</v>
      </c>
      <c r="AJ17" s="311">
        <f t="shared" si="6"/>
        <v>5.3511778396785044</v>
      </c>
      <c r="AK17" s="311">
        <f t="shared" si="7"/>
        <v>5.2172948095051757</v>
      </c>
      <c r="AL17" s="311">
        <f t="shared" si="8"/>
        <v>4.4155754010640775</v>
      </c>
      <c r="AM17" s="311">
        <f t="shared" si="9"/>
        <v>4.6177731761444676</v>
      </c>
      <c r="AN17" s="311">
        <f t="shared" si="10"/>
        <v>4.3321446630688305</v>
      </c>
      <c r="AO17" s="311">
        <f t="shared" si="11"/>
        <v>5.2302819890305976</v>
      </c>
      <c r="AP17" s="311">
        <f t="shared" si="12"/>
        <v>5.360834763253151</v>
      </c>
      <c r="AQ17" s="311">
        <f t="shared" si="13"/>
        <v>6.2329268904480255</v>
      </c>
      <c r="AR17" s="311"/>
      <c r="AS17" s="311">
        <f t="shared" si="14"/>
        <v>3.1497928405646141</v>
      </c>
      <c r="AT17" s="311">
        <f t="shared" si="15"/>
        <v>2.6383374706299012</v>
      </c>
      <c r="AU17" s="311">
        <f t="shared" si="16"/>
        <v>2.5189652983410427</v>
      </c>
      <c r="AV17" s="311">
        <f t="shared" si="17"/>
        <v>2.6203190979783053</v>
      </c>
      <c r="AW17" s="311">
        <f t="shared" si="18"/>
        <v>2.6184759624756659</v>
      </c>
      <c r="AX17" s="311">
        <f t="shared" si="19"/>
        <v>2.1710119660092295</v>
      </c>
      <c r="AY17" s="311">
        <f t="shared" si="20"/>
        <v>2.3606316986668618</v>
      </c>
      <c r="AZ17" s="311">
        <f t="shared" si="21"/>
        <v>1.8533483596986504</v>
      </c>
      <c r="BA17" s="311">
        <f t="shared" si="22"/>
        <v>2.2833991717717383</v>
      </c>
      <c r="BB17" s="311">
        <f t="shared" si="23"/>
        <v>2.1303292532521572</v>
      </c>
      <c r="BC17" s="311">
        <f t="shared" si="24"/>
        <v>2.7898750838648665</v>
      </c>
      <c r="BD17" s="311">
        <f t="shared" si="25"/>
        <v>3.0643388860820417</v>
      </c>
    </row>
    <row r="18" spans="1:56" ht="15">
      <c r="A18" s="53" t="str">
        <f>VLOOKUP(CONCATENATE($C18," - ",$B18),[2]ACHIEV!$B$12:$C$78,2,FALSE)</f>
        <v>Retro12Med</v>
      </c>
      <c r="B18" s="53" t="str">
        <f>'SC-Retro'!$C$7</f>
        <v>Retro</v>
      </c>
      <c r="C18" s="53" t="str">
        <f>'SC-Retro'!$C$8</f>
        <v>Showerheads</v>
      </c>
      <c r="D18" s="53" t="s">
        <v>219</v>
      </c>
      <c r="E18" s="53" t="str">
        <f>'SC-Retro'!$A$9</f>
        <v>Water Heating</v>
      </c>
      <c r="F18" s="310">
        <f t="shared" si="1"/>
        <v>2.2249005776311039E-2</v>
      </c>
      <c r="G18" s="55">
        <f>'SC-Retro'!A62</f>
        <v>114.9679001881766</v>
      </c>
      <c r="H18" s="55">
        <f>'SC-Retro'!B62</f>
        <v>-109.97334429276586</v>
      </c>
      <c r="I18" s="7" t="str">
        <f>'SC-Retro'!C62</f>
        <v>Multifamily - Low Rise</v>
      </c>
      <c r="J18" s="7" t="str">
        <f>'SC-Retro'!D62</f>
        <v>MF Showerhead Replace_2_00gpm_Any Shower_ AnyWH</v>
      </c>
      <c r="K18" s="26">
        <f ca="1">'SC-Retro'!E62</f>
        <v>0.82235572097992948</v>
      </c>
      <c r="L18" s="26">
        <f ca="1">'SC-Retro'!F62</f>
        <v>0.84004300300724577</v>
      </c>
      <c r="M18" s="26">
        <f ca="1">'SC-Retro'!G62</f>
        <v>0.8564117425556339</v>
      </c>
      <c r="N18" s="26">
        <f ca="1">'SC-Retro'!H62</f>
        <v>0.87152961414753038</v>
      </c>
      <c r="O18" s="26">
        <f ca="1">'SC-Retro'!I62</f>
        <v>0.88505429651156453</v>
      </c>
      <c r="P18" s="26">
        <f ca="1">'SC-Retro'!J62</f>
        <v>0.80703319683095065</v>
      </c>
      <c r="Q18" s="26">
        <f ca="1">'SC-Retro'!K62</f>
        <v>0.65304538033244997</v>
      </c>
      <c r="R18" s="26">
        <f ca="1">'SC-Retro'!L62</f>
        <v>0.52791530008451248</v>
      </c>
      <c r="S18" s="26">
        <f ca="1">'SC-Retro'!M62</f>
        <v>0.42655723064897744</v>
      </c>
      <c r="T18" s="26">
        <f ca="1">'SC-Retro'!N62</f>
        <v>0.34455727073471354</v>
      </c>
      <c r="U18" s="26">
        <f ca="1">'SC-Retro'!O62</f>
        <v>0.27827199905873679</v>
      </c>
      <c r="V18" s="26">
        <f ca="1">'SC-Retro'!P62</f>
        <v>0.22465880078547196</v>
      </c>
      <c r="W18" s="26">
        <f ca="1">'SC-Retro'!Q62</f>
        <v>0.18131568418861388</v>
      </c>
      <c r="X18" s="26">
        <f ca="1">'SC-Retro'!R62</f>
        <v>0.14629730099948146</v>
      </c>
      <c r="Y18" s="26">
        <f ca="1">'SC-Retro'!S62</f>
        <v>0.11800238849103824</v>
      </c>
      <c r="Z18" s="26">
        <f ca="1">'SC-Retro'!T62</f>
        <v>9.5150822302404778E-2</v>
      </c>
      <c r="AA18" s="26">
        <f ca="1">'SC-Retro'!U62</f>
        <v>6.5392092416215707E-4</v>
      </c>
      <c r="AB18" s="26">
        <f ca="1">'SC-Retro'!V62</f>
        <v>2.3526371805663275E-4</v>
      </c>
      <c r="AC18" s="26">
        <f ca="1">'SC-Retro'!W62</f>
        <v>8.0781126798957128E-5</v>
      </c>
      <c r="AD18" s="26">
        <f ca="1">'SC-Retro'!X62</f>
        <v>2.6525588463918952E-5</v>
      </c>
      <c r="AE18" s="26">
        <f ca="1">'SC-Retro'!Y62</f>
        <v>9.2674235506860612</v>
      </c>
      <c r="AF18" s="311">
        <f t="shared" si="2"/>
        <v>7.6016703861961883</v>
      </c>
      <c r="AG18" s="311">
        <f t="shared" si="3"/>
        <v>6.8098179077971865</v>
      </c>
      <c r="AH18" s="311">
        <f t="shared" si="4"/>
        <v>7.8338916836400641</v>
      </c>
      <c r="AI18" s="311">
        <f t="shared" si="5"/>
        <v>6.7939749591532035</v>
      </c>
      <c r="AJ18" s="311">
        <f t="shared" si="6"/>
        <v>6.4802626779738439</v>
      </c>
      <c r="AK18" s="311">
        <f t="shared" si="7"/>
        <v>6.3181306708457843</v>
      </c>
      <c r="AL18" s="311">
        <f t="shared" si="8"/>
        <v>5.3472505176568834</v>
      </c>
      <c r="AM18" s="311">
        <f t="shared" si="9"/>
        <v>5.5921115061493767</v>
      </c>
      <c r="AN18" s="311">
        <f t="shared" si="10"/>
        <v>5.2462161073224856</v>
      </c>
      <c r="AO18" s="311">
        <f t="shared" si="11"/>
        <v>6.3338581120357773</v>
      </c>
      <c r="AP18" s="311">
        <f t="shared" si="12"/>
        <v>6.4919571877247257</v>
      </c>
      <c r="AQ18" s="311">
        <f t="shared" si="13"/>
        <v>7.5480585233430721</v>
      </c>
      <c r="AR18" s="311"/>
      <c r="AS18" s="311">
        <f t="shared" si="14"/>
        <v>3.8143910741875837</v>
      </c>
      <c r="AT18" s="311">
        <f t="shared" si="15"/>
        <v>3.1950199292666461</v>
      </c>
      <c r="AU18" s="311">
        <f t="shared" si="16"/>
        <v>3.0504605339245114</v>
      </c>
      <c r="AV18" s="311">
        <f t="shared" si="17"/>
        <v>3.1731997260683582</v>
      </c>
      <c r="AW18" s="311">
        <f t="shared" si="18"/>
        <v>3.1709676936885631</v>
      </c>
      <c r="AX18" s="311">
        <f t="shared" si="19"/>
        <v>2.6290899383769069</v>
      </c>
      <c r="AY18" s="311">
        <f t="shared" si="20"/>
        <v>2.8587189496643468</v>
      </c>
      <c r="AZ18" s="311">
        <f t="shared" si="21"/>
        <v>2.2444001235736861</v>
      </c>
      <c r="BA18" s="311">
        <f t="shared" si="22"/>
        <v>2.765190557119996</v>
      </c>
      <c r="BB18" s="311">
        <f t="shared" si="23"/>
        <v>2.5798232772759508</v>
      </c>
      <c r="BC18" s="311">
        <f t="shared" si="24"/>
        <v>3.3785315913299612</v>
      </c>
      <c r="BD18" s="311">
        <f t="shared" si="25"/>
        <v>3.710906553861502</v>
      </c>
    </row>
    <row r="19" spans="1:56" ht="15">
      <c r="A19" s="53" t="str">
        <f>VLOOKUP(CONCATENATE($C19," - ",$B19),[2]ACHIEV!$B$12:$C$78,2,FALSE)</f>
        <v>Retro12Med</v>
      </c>
      <c r="B19" s="53" t="str">
        <f>'SC-Retro'!$C$7</f>
        <v>Retro</v>
      </c>
      <c r="C19" s="53" t="str">
        <f>'SC-Retro'!$C$8</f>
        <v>Showerheads</v>
      </c>
      <c r="D19" s="53" t="s">
        <v>219</v>
      </c>
      <c r="E19" s="53" t="str">
        <f>'SC-Retro'!$A$9</f>
        <v>Water Heating</v>
      </c>
      <c r="F19" s="310">
        <f t="shared" si="1"/>
        <v>2.2249005776311039E-2</v>
      </c>
      <c r="G19" s="55">
        <f>'SC-Retro'!A63</f>
        <v>114.9679001881766</v>
      </c>
      <c r="H19" s="55">
        <f>'SC-Retro'!B63</f>
        <v>-109.97334429276586</v>
      </c>
      <c r="I19" s="7" t="str">
        <f>'SC-Retro'!C63</f>
        <v>Multifamily - High Rise</v>
      </c>
      <c r="J19" s="7" t="str">
        <f>'SC-Retro'!D63</f>
        <v>MF Showerhead Replace_2_00gpm_Any Shower_ AnyWH</v>
      </c>
      <c r="K19" s="26">
        <f ca="1">'SC-Retro'!E63</f>
        <v>0.18749410123578128</v>
      </c>
      <c r="L19" s="26">
        <f ca="1">'SC-Retro'!F63</f>
        <v>0.19145819959348959</v>
      </c>
      <c r="M19" s="26">
        <f ca="1">'SC-Retro'!G63</f>
        <v>0.195183927859923</v>
      </c>
      <c r="N19" s="26">
        <f ca="1">'SC-Retro'!H63</f>
        <v>0.19868306432204089</v>
      </c>
      <c r="O19" s="26">
        <f ca="1">'SC-Retro'!I63</f>
        <v>0.20173208659836406</v>
      </c>
      <c r="P19" s="26">
        <f ca="1">'SC-Retro'!J63</f>
        <v>0.18386884151110128</v>
      </c>
      <c r="Q19" s="26">
        <f ca="1">'SC-Retro'!K63</f>
        <v>0.14875763352274141</v>
      </c>
      <c r="R19" s="26">
        <f ca="1">'SC-Retro'!L63</f>
        <v>0.12023800294306593</v>
      </c>
      <c r="S19" s="26">
        <f ca="1">'SC-Retro'!M63</f>
        <v>9.715448002799898E-2</v>
      </c>
      <c r="T19" s="26">
        <f ca="1">'SC-Retro'!N63</f>
        <v>7.8472820116270034E-2</v>
      </c>
      <c r="U19" s="26">
        <f ca="1">'SC-Retro'!O63</f>
        <v>6.3372359605044976E-2</v>
      </c>
      <c r="V19" s="26">
        <f ca="1">'SC-Retro'!P63</f>
        <v>5.115289779193323E-2</v>
      </c>
      <c r="W19" s="26">
        <f ca="1">'SC-Retro'!Q63</f>
        <v>4.1275574708530875E-2</v>
      </c>
      <c r="X19" s="26">
        <f ca="1">'SC-Retro'!R63</f>
        <v>3.3294297195044606E-2</v>
      </c>
      <c r="Y19" s="26">
        <f ca="1">'SC-Retro'!S63</f>
        <v>2.6849643135031208E-2</v>
      </c>
      <c r="Z19" s="26">
        <f ca="1">'SC-Retro'!T63</f>
        <v>2.1646990800288108E-2</v>
      </c>
      <c r="AA19" s="26">
        <f ca="1">'SC-Retro'!U63</f>
        <v>1.487467336843911E-4</v>
      </c>
      <c r="AB19" s="26">
        <f ca="1">'SC-Retro'!V63</f>
        <v>5.3508282042999317E-5</v>
      </c>
      <c r="AC19" s="26">
        <f ca="1">'SC-Retro'!W63</f>
        <v>1.8368815131682544E-5</v>
      </c>
      <c r="AD19" s="26">
        <f ca="1">'SC-Retro'!X63</f>
        <v>6.0311844203348742E-6</v>
      </c>
      <c r="AE19" s="26">
        <f ca="1">'SC-Retro'!Y63</f>
        <v>2.1071555344218149</v>
      </c>
      <c r="AF19" s="311">
        <f t="shared" si="2"/>
        <v>7.6016703861961883</v>
      </c>
      <c r="AG19" s="311">
        <f t="shared" si="3"/>
        <v>6.8098179077971865</v>
      </c>
      <c r="AH19" s="311">
        <f t="shared" si="4"/>
        <v>7.8338916836400641</v>
      </c>
      <c r="AI19" s="311">
        <f t="shared" si="5"/>
        <v>6.7939749591532035</v>
      </c>
      <c r="AJ19" s="311">
        <f t="shared" si="6"/>
        <v>6.4802626779738439</v>
      </c>
      <c r="AK19" s="311">
        <f t="shared" si="7"/>
        <v>6.3181306708457843</v>
      </c>
      <c r="AL19" s="311">
        <f t="shared" si="8"/>
        <v>5.3472505176568834</v>
      </c>
      <c r="AM19" s="311">
        <f t="shared" si="9"/>
        <v>5.5921115061493767</v>
      </c>
      <c r="AN19" s="311">
        <f t="shared" si="10"/>
        <v>5.2462161073224856</v>
      </c>
      <c r="AO19" s="311">
        <f t="shared" si="11"/>
        <v>6.3338581120357773</v>
      </c>
      <c r="AP19" s="311">
        <f t="shared" si="12"/>
        <v>6.4919571877247257</v>
      </c>
      <c r="AQ19" s="311">
        <f t="shared" si="13"/>
        <v>7.5480585233430721</v>
      </c>
      <c r="AR19" s="311"/>
      <c r="AS19" s="311">
        <f t="shared" si="14"/>
        <v>3.8143910741875837</v>
      </c>
      <c r="AT19" s="311">
        <f t="shared" si="15"/>
        <v>3.1950199292666461</v>
      </c>
      <c r="AU19" s="311">
        <f t="shared" si="16"/>
        <v>3.0504605339245114</v>
      </c>
      <c r="AV19" s="311">
        <f t="shared" si="17"/>
        <v>3.1731997260683582</v>
      </c>
      <c r="AW19" s="311">
        <f t="shared" si="18"/>
        <v>3.1709676936885631</v>
      </c>
      <c r="AX19" s="311">
        <f t="shared" si="19"/>
        <v>2.6290899383769069</v>
      </c>
      <c r="AY19" s="311">
        <f t="shared" si="20"/>
        <v>2.8587189496643468</v>
      </c>
      <c r="AZ19" s="311">
        <f t="shared" si="21"/>
        <v>2.2444001235736861</v>
      </c>
      <c r="BA19" s="311">
        <f t="shared" si="22"/>
        <v>2.765190557119996</v>
      </c>
      <c r="BB19" s="311">
        <f t="shared" si="23"/>
        <v>2.5798232772759508</v>
      </c>
      <c r="BC19" s="311">
        <f t="shared" si="24"/>
        <v>3.3785315913299612</v>
      </c>
      <c r="BD19" s="311">
        <f t="shared" si="25"/>
        <v>3.710906553861502</v>
      </c>
    </row>
    <row r="20" spans="1:56" ht="15">
      <c r="A20" s="53" t="str">
        <f>VLOOKUP(CONCATENATE($C20," - ",$B20),[2]ACHIEV!$B$12:$C$78,2,FALSE)</f>
        <v>Retro12Med</v>
      </c>
      <c r="B20" s="53" t="str">
        <f>'SC-Retro'!$C$7</f>
        <v>Retro</v>
      </c>
      <c r="C20" s="53" t="str">
        <f>'SC-Retro'!$C$8</f>
        <v>Showerheads</v>
      </c>
      <c r="D20" s="53" t="s">
        <v>219</v>
      </c>
      <c r="E20" s="53" t="str">
        <f>'SC-Retro'!$A$9</f>
        <v>Water Heating</v>
      </c>
      <c r="F20" s="310">
        <f t="shared" si="1"/>
        <v>2.9786774179740256E-2</v>
      </c>
      <c r="G20" s="55">
        <f>'SC-Retro'!A64</f>
        <v>141.19769879304073</v>
      </c>
      <c r="H20" s="55">
        <f>'SC-Retro'!B64</f>
        <v>-126.69575479929152</v>
      </c>
      <c r="I20" s="7" t="str">
        <f>'SC-Retro'!C64</f>
        <v>Manufactured</v>
      </c>
      <c r="J20" s="7" t="str">
        <f>'SC-Retro'!D64</f>
        <v>MH Showerhead Replace_2_00gpm_Any Shower_ AnyWH</v>
      </c>
      <c r="K20" s="26">
        <f ca="1">'SC-Retro'!E64</f>
        <v>0.42263968467253338</v>
      </c>
      <c r="L20" s="26">
        <f ca="1">'SC-Retro'!F64</f>
        <v>0.41946065340992617</v>
      </c>
      <c r="M20" s="26">
        <f ca="1">'SC-Retro'!G64</f>
        <v>0.41629468705612999</v>
      </c>
      <c r="N20" s="26">
        <f ca="1">'SC-Retro'!H64</f>
        <v>0.413177561402997</v>
      </c>
      <c r="O20" s="26">
        <f ca="1">'SC-Retro'!I64</f>
        <v>0.41010867023887909</v>
      </c>
      <c r="P20" s="26">
        <f ca="1">'SC-Retro'!J64</f>
        <v>0.366300842080311</v>
      </c>
      <c r="Q20" s="26">
        <f ca="1">'SC-Retro'!K64</f>
        <v>0.29079335626078306</v>
      </c>
      <c r="R20" s="26">
        <f ca="1">'SC-Retro'!L64</f>
        <v>0.23084665028554027</v>
      </c>
      <c r="S20" s="26">
        <f ca="1">'SC-Retro'!M64</f>
        <v>0.18325861850313088</v>
      </c>
      <c r="T20" s="26">
        <f ca="1">'SC-Retro'!N64</f>
        <v>0.14548292314204983</v>
      </c>
      <c r="U20" s="26">
        <f ca="1">'SC-Retro'!O64</f>
        <v>0.11549545708091435</v>
      </c>
      <c r="V20" s="26">
        <f ca="1">'SC-Retro'!P64</f>
        <v>9.1689459786779115E-2</v>
      </c>
      <c r="W20" s="26">
        <f ca="1">'SC-Retro'!Q64</f>
        <v>7.2791991987014817E-2</v>
      </c>
      <c r="X20" s="26">
        <f ca="1">'SC-Retro'!R64</f>
        <v>5.7791337348857816E-2</v>
      </c>
      <c r="Y20" s="26">
        <f ca="1">'SC-Retro'!S64</f>
        <v>4.5883699105856206E-2</v>
      </c>
      <c r="Z20" s="26">
        <f ca="1">'SC-Retro'!T64</f>
        <v>3.643102344988141E-2</v>
      </c>
      <c r="AA20" s="26">
        <f ca="1">'SC-Retro'!U64</f>
        <v>2.4662955914824425E-4</v>
      </c>
      <c r="AB20" s="26">
        <f ca="1">'SC-Retro'!V64</f>
        <v>8.7427930245678436E-5</v>
      </c>
      <c r="AC20" s="26">
        <f ca="1">'SC-Retro'!W64</f>
        <v>2.9585273004350431E-5</v>
      </c>
      <c r="AD20" s="26">
        <f ca="1">'SC-Retro'!X64</f>
        <v>9.576789640581273E-6</v>
      </c>
      <c r="AE20" s="26">
        <f ca="1">'SC-Retro'!Y64</f>
        <v>3.3459075177846866</v>
      </c>
      <c r="AF20" s="311">
        <f t="shared" si="2"/>
        <v>10.973922473948493</v>
      </c>
      <c r="AG20" s="311">
        <f t="shared" si="3"/>
        <v>9.8903970583919989</v>
      </c>
      <c r="AH20" s="311">
        <f t="shared" si="4"/>
        <v>11.069593661786152</v>
      </c>
      <c r="AI20" s="311">
        <f t="shared" si="5"/>
        <v>8.6862507595227978</v>
      </c>
      <c r="AJ20" s="311">
        <f t="shared" si="6"/>
        <v>7.2157772582258408</v>
      </c>
      <c r="AK20" s="311">
        <f t="shared" si="7"/>
        <v>6.1028819193627193</v>
      </c>
      <c r="AL20" s="311">
        <f t="shared" si="8"/>
        <v>5.2112794737179824</v>
      </c>
      <c r="AM20" s="311">
        <f t="shared" si="9"/>
        <v>5.3158950639631612</v>
      </c>
      <c r="AN20" s="311">
        <f t="shared" si="10"/>
        <v>5.2787690818740591</v>
      </c>
      <c r="AO20" s="311">
        <f t="shared" si="11"/>
        <v>7.0811796635967985</v>
      </c>
      <c r="AP20" s="311">
        <f t="shared" si="12"/>
        <v>7.8357476618245059</v>
      </c>
      <c r="AQ20" s="311">
        <f t="shared" si="13"/>
        <v>10.683183140544569</v>
      </c>
      <c r="AR20" s="311"/>
      <c r="AS20" s="311">
        <f t="shared" si="14"/>
        <v>5.7701972443200704</v>
      </c>
      <c r="AT20" s="311">
        <f t="shared" si="15"/>
        <v>4.8595422934777162</v>
      </c>
      <c r="AU20" s="311">
        <f t="shared" si="16"/>
        <v>4.4535880801684229</v>
      </c>
      <c r="AV20" s="311">
        <f t="shared" si="17"/>
        <v>4.1483191911884507</v>
      </c>
      <c r="AW20" s="311">
        <f t="shared" si="18"/>
        <v>3.5243058199859196</v>
      </c>
      <c r="AX20" s="311">
        <f t="shared" si="19"/>
        <v>2.6602432319004636</v>
      </c>
      <c r="AY20" s="311">
        <f t="shared" si="20"/>
        <v>2.7940363785114881</v>
      </c>
      <c r="AZ20" s="311">
        <f t="shared" si="21"/>
        <v>2.3130240471000234</v>
      </c>
      <c r="BA20" s="311">
        <f t="shared" si="22"/>
        <v>2.7740792326556463</v>
      </c>
      <c r="BB20" s="311">
        <f t="shared" si="23"/>
        <v>2.9243858472667297</v>
      </c>
      <c r="BC20" s="311">
        <f t="shared" si="24"/>
        <v>4.0731165650635583</v>
      </c>
      <c r="BD20" s="311">
        <f t="shared" si="25"/>
        <v>5.5579836446431639</v>
      </c>
    </row>
    <row r="21" spans="1:56" ht="15">
      <c r="A21" s="53" t="str">
        <f>VLOOKUP(CONCATENATE($C21," - ",$B21),[2]ACHIEV!$B$12:$C$78,2,FALSE)</f>
        <v>Retro12Med</v>
      </c>
      <c r="B21" s="53" t="str">
        <f>'SC-Retro'!$C$7</f>
        <v>Retro</v>
      </c>
      <c r="C21" s="53" t="str">
        <f>'SC-Retro'!$C$8</f>
        <v>Showerheads</v>
      </c>
      <c r="D21" s="53" t="s">
        <v>219</v>
      </c>
      <c r="E21" s="53" t="str">
        <f>'SC-Retro'!$A$9</f>
        <v>Water Heating</v>
      </c>
      <c r="F21" s="310">
        <f t="shared" si="1"/>
        <v>1.0956571694973402E-2</v>
      </c>
      <c r="G21" s="55">
        <f>'SC-Retro'!A65</f>
        <v>56.616194615468245</v>
      </c>
      <c r="H21" s="55">
        <f>'SC-Retro'!B65</f>
        <v>-238.38313260787731</v>
      </c>
      <c r="I21" s="7" t="str">
        <f>'SC-Retro'!C65</f>
        <v>Single Family</v>
      </c>
      <c r="J21" s="7" t="str">
        <f>'SC-Retro'!D65</f>
        <v>SF Showerhead Replace_1_75gpm_Any Shower_ AnyWH</v>
      </c>
      <c r="K21" s="26">
        <f ca="1">'SC-Retro'!E65</f>
        <v>1.7480822732531769</v>
      </c>
      <c r="L21" s="26">
        <f ca="1">'SC-Retro'!F65</f>
        <v>1.7730547453293719</v>
      </c>
      <c r="M21" s="26">
        <f ca="1">'SC-Retro'!G65</f>
        <v>1.7953835881632243</v>
      </c>
      <c r="N21" s="26">
        <f ca="1">'SC-Retro'!H65</f>
        <v>1.8150278834490934</v>
      </c>
      <c r="O21" s="26">
        <f ca="1">'SC-Retro'!I65</f>
        <v>1.8326343710476769</v>
      </c>
      <c r="P21" s="26">
        <f ca="1">'SC-Retro'!J65</f>
        <v>1.6635832715325705</v>
      </c>
      <c r="Q21" s="26">
        <f ca="1">'SC-Retro'!K65</f>
        <v>1.3408040398738357</v>
      </c>
      <c r="R21" s="26">
        <f ca="1">'SC-Retro'!L65</f>
        <v>1.0798356490538894</v>
      </c>
      <c r="S21" s="26">
        <f ca="1">'SC-Retro'!M65</f>
        <v>0.86928581031906604</v>
      </c>
      <c r="T21" s="26">
        <f ca="1">'SC-Retro'!N65</f>
        <v>0.69951327957068099</v>
      </c>
      <c r="U21" s="26">
        <f ca="1">'SC-Retro'!O65</f>
        <v>0.56283377548877778</v>
      </c>
      <c r="V21" s="26">
        <f ca="1">'SC-Retro'!P65</f>
        <v>0.4527910504484956</v>
      </c>
      <c r="W21" s="26">
        <f ca="1">'SC-Retro'!Q65</f>
        <v>0.36416723308233873</v>
      </c>
      <c r="X21" s="26">
        <f ca="1">'SC-Retro'!R65</f>
        <v>0.29279426546758824</v>
      </c>
      <c r="Y21" s="26">
        <f ca="1">'SC-Retro'!S65</f>
        <v>0.23538612250842469</v>
      </c>
      <c r="Z21" s="26">
        <f ca="1">'SC-Retro'!T65</f>
        <v>0.18923217400113154</v>
      </c>
      <c r="AA21" s="26">
        <f ca="1">'SC-Retro'!U65</f>
        <v>1.2969022122115317E-3</v>
      </c>
      <c r="AB21" s="26">
        <f ca="1">'SC-Retro'!V65</f>
        <v>4.6529022085215317E-4</v>
      </c>
      <c r="AC21" s="26">
        <f ca="1">'SC-Retro'!W65</f>
        <v>1.5934019718826317E-4</v>
      </c>
      <c r="AD21" s="26">
        <f ca="1">'SC-Retro'!X65</f>
        <v>5.2194137025681731E-5</v>
      </c>
      <c r="AE21" s="26">
        <f ca="1">'SC-Retro'!Y65</f>
        <v>18.235417296679064</v>
      </c>
      <c r="AF21" s="311">
        <f t="shared" si="2"/>
        <v>3.7434592550015577</v>
      </c>
      <c r="AG21" s="311">
        <f t="shared" si="3"/>
        <v>3.3535097651839711</v>
      </c>
      <c r="AH21" s="311">
        <f t="shared" si="4"/>
        <v>3.8578171422763501</v>
      </c>
      <c r="AI21" s="311">
        <f t="shared" si="5"/>
        <v>3.3457078703747025</v>
      </c>
      <c r="AJ21" s="311">
        <f t="shared" si="6"/>
        <v>3.1912195694190264</v>
      </c>
      <c r="AK21" s="311">
        <f t="shared" si="7"/>
        <v>3.1113773068924058</v>
      </c>
      <c r="AL21" s="311">
        <f t="shared" si="8"/>
        <v>2.6332652459495787</v>
      </c>
      <c r="AM21" s="311">
        <f t="shared" si="9"/>
        <v>2.7538475768048531</v>
      </c>
      <c r="AN21" s="311">
        <f t="shared" si="10"/>
        <v>2.5835106289739818</v>
      </c>
      <c r="AO21" s="311">
        <f t="shared" si="11"/>
        <v>3.1191223198026057</v>
      </c>
      <c r="AP21" s="311">
        <f t="shared" si="12"/>
        <v>3.1969785563963025</v>
      </c>
      <c r="AQ21" s="311">
        <f t="shared" si="13"/>
        <v>3.7170579755485829</v>
      </c>
      <c r="AR21" s="311"/>
      <c r="AS21" s="311">
        <f t="shared" si="14"/>
        <v>1.8784052508764384</v>
      </c>
      <c r="AT21" s="311">
        <f t="shared" si="15"/>
        <v>1.5733945720464928</v>
      </c>
      <c r="AU21" s="311">
        <f t="shared" si="16"/>
        <v>1.502205980737191</v>
      </c>
      <c r="AV21" s="311">
        <f t="shared" si="17"/>
        <v>1.5626491651215921</v>
      </c>
      <c r="AW21" s="311">
        <f t="shared" si="18"/>
        <v>1.5615499958804764</v>
      </c>
      <c r="AX21" s="311">
        <f t="shared" si="19"/>
        <v>1.2947011067357403</v>
      </c>
      <c r="AY21" s="311">
        <f t="shared" si="20"/>
        <v>1.4077824170069377</v>
      </c>
      <c r="AZ21" s="311">
        <f t="shared" si="21"/>
        <v>1.1052597636665953</v>
      </c>
      <c r="BA21" s="311">
        <f t="shared" si="22"/>
        <v>1.361724154955567</v>
      </c>
      <c r="BB21" s="311">
        <f t="shared" si="23"/>
        <v>1.2704396314162765</v>
      </c>
      <c r="BC21" s="311">
        <f t="shared" si="24"/>
        <v>1.6637652925395958</v>
      </c>
      <c r="BD21" s="311">
        <f t="shared" si="25"/>
        <v>1.8274440718614255</v>
      </c>
    </row>
    <row r="22" spans="1:56" ht="15">
      <c r="A22" s="53" t="str">
        <f>VLOOKUP(CONCATENATE($C22," - ",$B22),[2]ACHIEV!$B$12:$C$78,2,FALSE)</f>
        <v>Retro12Med</v>
      </c>
      <c r="B22" s="53" t="str">
        <f>'SC-Retro'!$C$7</f>
        <v>Retro</v>
      </c>
      <c r="C22" s="53" t="str">
        <f>'SC-Retro'!$C$8</f>
        <v>Showerheads</v>
      </c>
      <c r="D22" s="53" t="s">
        <v>219</v>
      </c>
      <c r="E22" s="53" t="str">
        <f>'SC-Retro'!$A$9</f>
        <v>Water Heating</v>
      </c>
      <c r="F22" s="310">
        <f t="shared" si="1"/>
        <v>1.3268380300690299E-2</v>
      </c>
      <c r="G22" s="55">
        <f>'SC-Retro'!A66</f>
        <v>68.562066880880366</v>
      </c>
      <c r="H22" s="55">
        <f>'SC-Retro'!B66</f>
        <v>-134.16702760464855</v>
      </c>
      <c r="I22" s="7" t="str">
        <f>'SC-Retro'!C66</f>
        <v>Multifamily - Low Rise</v>
      </c>
      <c r="J22" s="7" t="str">
        <f>'SC-Retro'!D66</f>
        <v>MF Showerhead Replace_1_75gpm_Any Shower_ AnyWH</v>
      </c>
      <c r="K22" s="26">
        <f ca="1">'SC-Retro'!E66</f>
        <v>0.49041869817066502</v>
      </c>
      <c r="L22" s="26">
        <f ca="1">'SC-Retro'!F66</f>
        <v>0.50096665643825944</v>
      </c>
      <c r="M22" s="26">
        <f ca="1">'SC-Retro'!G66</f>
        <v>0.51072829089305416</v>
      </c>
      <c r="N22" s="26">
        <f ca="1">'SC-Retro'!H66</f>
        <v>0.51974395980136368</v>
      </c>
      <c r="O22" s="26">
        <f ca="1">'SC-Retro'!I66</f>
        <v>0.52780951701574974</v>
      </c>
      <c r="P22" s="26">
        <f ca="1">'SC-Retro'!J66</f>
        <v>0.48128098300176397</v>
      </c>
      <c r="Q22" s="26">
        <f ca="1">'SC-Retro'!K66</f>
        <v>0.3894490633413169</v>
      </c>
      <c r="R22" s="26">
        <f ca="1">'SC-Retro'!L66</f>
        <v>0.31482669556103365</v>
      </c>
      <c r="S22" s="26">
        <f ca="1">'SC-Retro'!M66</f>
        <v>0.25438096484679429</v>
      </c>
      <c r="T22" s="26">
        <f ca="1">'SC-Retro'!N66</f>
        <v>0.20547960432208104</v>
      </c>
      <c r="U22" s="26">
        <f ca="1">'SC-Retro'!O66</f>
        <v>0.16594982929420748</v>
      </c>
      <c r="V22" s="26">
        <f ca="1">'SC-Retro'!P66</f>
        <v>0.13397715101015623</v>
      </c>
      <c r="W22" s="26">
        <f ca="1">'SC-Retro'!Q66</f>
        <v>0.10812912165521818</v>
      </c>
      <c r="X22" s="26">
        <f ca="1">'SC-Retro'!R66</f>
        <v>8.7245616552108454E-2</v>
      </c>
      <c r="Y22" s="26">
        <f ca="1">'SC-Retro'!S66</f>
        <v>7.0371709308284167E-2</v>
      </c>
      <c r="Z22" s="26">
        <f ca="1">'SC-Retro'!T66</f>
        <v>5.6743987076308684E-2</v>
      </c>
      <c r="AA22" s="26">
        <f ca="1">'SC-Retro'!U66</f>
        <v>3.8997120121207274E-4</v>
      </c>
      <c r="AB22" s="26">
        <f ca="1">'SC-Retro'!V66</f>
        <v>1.403014819409764E-4</v>
      </c>
      <c r="AC22" s="26">
        <f ca="1">'SC-Retro'!W66</f>
        <v>4.8174499223154138E-5</v>
      </c>
      <c r="AD22" s="26">
        <f ca="1">'SC-Retro'!X66</f>
        <v>1.5818756081838495E-5</v>
      </c>
      <c r="AE22" s="26">
        <f ca="1">'SC-Retro'!Y66</f>
        <v>5.5267053869435445</v>
      </c>
      <c r="AF22" s="311">
        <f t="shared" si="2"/>
        <v>4.5333195837422968</v>
      </c>
      <c r="AG22" s="311">
        <f t="shared" si="3"/>
        <v>4.0610917488864722</v>
      </c>
      <c r="AH22" s="311">
        <f t="shared" si="4"/>
        <v>4.6718066927566548</v>
      </c>
      <c r="AI22" s="311">
        <f t="shared" si="5"/>
        <v>4.0516436742261437</v>
      </c>
      <c r="AJ22" s="311">
        <f t="shared" si="6"/>
        <v>3.8645587368795637</v>
      </c>
      <c r="AK22" s="311">
        <f t="shared" si="7"/>
        <v>3.7678699611599864</v>
      </c>
      <c r="AL22" s="311">
        <f t="shared" si="8"/>
        <v>3.188877478151217</v>
      </c>
      <c r="AM22" s="311">
        <f t="shared" si="9"/>
        <v>3.3349023724222464</v>
      </c>
      <c r="AN22" s="311">
        <f t="shared" si="10"/>
        <v>3.1286247642434293</v>
      </c>
      <c r="AO22" s="311">
        <f t="shared" si="11"/>
        <v>3.777249151986021</v>
      </c>
      <c r="AP22" s="311">
        <f t="shared" si="12"/>
        <v>3.871532855380178</v>
      </c>
      <c r="AQ22" s="311">
        <f t="shared" si="13"/>
        <v>4.5013477018471981</v>
      </c>
      <c r="AR22" s="311"/>
      <c r="AS22" s="311">
        <f t="shared" si="14"/>
        <v>2.2747439547058668</v>
      </c>
      <c r="AT22" s="311">
        <f t="shared" si="15"/>
        <v>1.905376802721265</v>
      </c>
      <c r="AU22" s="311">
        <f t="shared" si="16"/>
        <v>1.8191676007137088</v>
      </c>
      <c r="AV22" s="311">
        <f t="shared" si="17"/>
        <v>1.8923641424170692</v>
      </c>
      <c r="AW22" s="311">
        <f t="shared" si="18"/>
        <v>1.8910330512772526</v>
      </c>
      <c r="AX22" s="311">
        <f t="shared" si="19"/>
        <v>1.5678797290009545</v>
      </c>
      <c r="AY22" s="311">
        <f t="shared" si="20"/>
        <v>1.7048209065288624</v>
      </c>
      <c r="AZ22" s="311">
        <f t="shared" si="21"/>
        <v>1.3384667470489338</v>
      </c>
      <c r="BA22" s="311">
        <f t="shared" si="22"/>
        <v>1.6490444689807191</v>
      </c>
      <c r="BB22" s="311">
        <f t="shared" si="23"/>
        <v>1.5384991444388927</v>
      </c>
      <c r="BC22" s="311">
        <f t="shared" si="24"/>
        <v>2.0148155141112505</v>
      </c>
      <c r="BD22" s="311">
        <f t="shared" si="25"/>
        <v>2.2130300972541823</v>
      </c>
    </row>
    <row r="23" spans="1:56" ht="15">
      <c r="A23" s="53" t="str">
        <f>VLOOKUP(CONCATENATE($C23," - ",$B23),[2]ACHIEV!$B$12:$C$78,2,FALSE)</f>
        <v>Retro12Med</v>
      </c>
      <c r="B23" s="53" t="str">
        <f>'SC-Retro'!$C$7</f>
        <v>Retro</v>
      </c>
      <c r="C23" s="53" t="str">
        <f>'SC-Retro'!$C$8</f>
        <v>Showerheads</v>
      </c>
      <c r="D23" s="53" t="s">
        <v>219</v>
      </c>
      <c r="E23" s="53" t="str">
        <f>'SC-Retro'!$A$9</f>
        <v>Water Heating</v>
      </c>
      <c r="F23" s="310">
        <f t="shared" si="1"/>
        <v>1.3268380300690299E-2</v>
      </c>
      <c r="G23" s="55">
        <f>'SC-Retro'!A67</f>
        <v>68.562066880880366</v>
      </c>
      <c r="H23" s="55">
        <f>'SC-Retro'!B67</f>
        <v>-134.16702760464855</v>
      </c>
      <c r="I23" s="7" t="str">
        <f>'SC-Retro'!C67</f>
        <v>Multifamily - High Rise</v>
      </c>
      <c r="J23" s="7" t="str">
        <f>'SC-Retro'!D67</f>
        <v>MF Showerhead Replace_1_75gpm_Any Shower_ AnyWH</v>
      </c>
      <c r="K23" s="26">
        <f ca="1">'SC-Retro'!E67</f>
        <v>0.11181367223074852</v>
      </c>
      <c r="L23" s="26">
        <f ca="1">'SC-Retro'!F67</f>
        <v>0.11417769537354516</v>
      </c>
      <c r="M23" s="26">
        <f ca="1">'SC-Retro'!G67</f>
        <v>0.11639956452280414</v>
      </c>
      <c r="N23" s="26">
        <f ca="1">'SC-Retro'!H67</f>
        <v>0.11848630375826361</v>
      </c>
      <c r="O23" s="26">
        <f ca="1">'SC-Retro'!I67</f>
        <v>0.12030461364205201</v>
      </c>
      <c r="P23" s="26">
        <f ca="1">'SC-Retro'!J67</f>
        <v>0.10965171833494591</v>
      </c>
      <c r="Q23" s="26">
        <f ca="1">'SC-Retro'!K67</f>
        <v>8.8712856388035291E-2</v>
      </c>
      <c r="R23" s="26">
        <f ca="1">'SC-Retro'!L67</f>
        <v>7.1704936646775186E-2</v>
      </c>
      <c r="S23" s="26">
        <f ca="1">'SC-Retro'!M67</f>
        <v>5.7938885084915702E-2</v>
      </c>
      <c r="T23" s="26">
        <f ca="1">'SC-Retro'!N67</f>
        <v>4.6797921266168434E-2</v>
      </c>
      <c r="U23" s="26">
        <f ca="1">'SC-Retro'!O67</f>
        <v>3.7792635601142627E-2</v>
      </c>
      <c r="V23" s="26">
        <f ca="1">'SC-Retro'!P67</f>
        <v>3.0505457556595793E-2</v>
      </c>
      <c r="W23" s="26">
        <f ca="1">'SC-Retro'!Q67</f>
        <v>2.461503349266269E-2</v>
      </c>
      <c r="X23" s="26">
        <f ca="1">'SC-Retro'!R67</f>
        <v>1.9855332030090548E-2</v>
      </c>
      <c r="Y23" s="26">
        <f ca="1">'SC-Retro'!S67</f>
        <v>1.6012008789746481E-2</v>
      </c>
      <c r="Z23" s="26">
        <f ca="1">'SC-Retro'!T67</f>
        <v>1.2909363644894926E-2</v>
      </c>
      <c r="AA23" s="26">
        <f ca="1">'SC-Retro'!U67</f>
        <v>8.8706356178457307E-5</v>
      </c>
      <c r="AB23" s="26">
        <f ca="1">'SC-Retro'!V67</f>
        <v>3.1910110614427101E-5</v>
      </c>
      <c r="AC23" s="26">
        <f ca="1">'SC-Retro'!W67</f>
        <v>1.0954396222942099E-5</v>
      </c>
      <c r="AD23" s="26">
        <f ca="1">'SC-Retro'!X67</f>
        <v>3.5967471696108189E-6</v>
      </c>
      <c r="AE23" s="26">
        <f ca="1">'SC-Retro'!Y67</f>
        <v>1.2566197907675032</v>
      </c>
      <c r="AF23" s="311">
        <f t="shared" si="2"/>
        <v>4.5333195837422968</v>
      </c>
      <c r="AG23" s="311">
        <f t="shared" si="3"/>
        <v>4.0610917488864722</v>
      </c>
      <c r="AH23" s="311">
        <f t="shared" si="4"/>
        <v>4.6718066927566548</v>
      </c>
      <c r="AI23" s="311">
        <f t="shared" si="5"/>
        <v>4.0516436742261437</v>
      </c>
      <c r="AJ23" s="311">
        <f t="shared" si="6"/>
        <v>3.8645587368795637</v>
      </c>
      <c r="AK23" s="311">
        <f t="shared" si="7"/>
        <v>3.7678699611599864</v>
      </c>
      <c r="AL23" s="311">
        <f t="shared" si="8"/>
        <v>3.188877478151217</v>
      </c>
      <c r="AM23" s="311">
        <f t="shared" si="9"/>
        <v>3.3349023724222464</v>
      </c>
      <c r="AN23" s="311">
        <f t="shared" si="10"/>
        <v>3.1286247642434293</v>
      </c>
      <c r="AO23" s="311">
        <f t="shared" si="11"/>
        <v>3.777249151986021</v>
      </c>
      <c r="AP23" s="311">
        <f t="shared" si="12"/>
        <v>3.871532855380178</v>
      </c>
      <c r="AQ23" s="311">
        <f t="shared" si="13"/>
        <v>4.5013477018471981</v>
      </c>
      <c r="AR23" s="311"/>
      <c r="AS23" s="311">
        <f t="shared" si="14"/>
        <v>2.2747439547058668</v>
      </c>
      <c r="AT23" s="311">
        <f t="shared" si="15"/>
        <v>1.905376802721265</v>
      </c>
      <c r="AU23" s="311">
        <f t="shared" si="16"/>
        <v>1.8191676007137088</v>
      </c>
      <c r="AV23" s="311">
        <f t="shared" si="17"/>
        <v>1.8923641424170692</v>
      </c>
      <c r="AW23" s="311">
        <f t="shared" si="18"/>
        <v>1.8910330512772526</v>
      </c>
      <c r="AX23" s="311">
        <f t="shared" si="19"/>
        <v>1.5678797290009545</v>
      </c>
      <c r="AY23" s="311">
        <f t="shared" si="20"/>
        <v>1.7048209065288624</v>
      </c>
      <c r="AZ23" s="311">
        <f t="shared" si="21"/>
        <v>1.3384667470489338</v>
      </c>
      <c r="BA23" s="311">
        <f t="shared" si="22"/>
        <v>1.6490444689807191</v>
      </c>
      <c r="BB23" s="311">
        <f t="shared" si="23"/>
        <v>1.5384991444388927</v>
      </c>
      <c r="BC23" s="311">
        <f t="shared" si="24"/>
        <v>2.0148155141112505</v>
      </c>
      <c r="BD23" s="311">
        <f t="shared" si="25"/>
        <v>2.2130300972541823</v>
      </c>
    </row>
    <row r="24" spans="1:56" ht="15">
      <c r="A24" s="53" t="str">
        <f>VLOOKUP(CONCATENATE($C24," - ",$B24),[2]ACHIEV!$B$12:$C$78,2,FALSE)</f>
        <v>Retro12Med</v>
      </c>
      <c r="B24" s="53" t="str">
        <f>'SC-Retro'!$C$7</f>
        <v>Retro</v>
      </c>
      <c r="C24" s="53" t="str">
        <f>'SC-Retro'!$C$8</f>
        <v>Showerheads</v>
      </c>
      <c r="D24" s="53" t="s">
        <v>219</v>
      </c>
      <c r="E24" s="53" t="str">
        <f>'SC-Retro'!$A$9</f>
        <v>Water Heating</v>
      </c>
      <c r="F24" s="310">
        <f t="shared" si="1"/>
        <v>1.628329105022289E-2</v>
      </c>
      <c r="G24" s="55">
        <f>'SC-Retro'!A68</f>
        <v>84.141098214387171</v>
      </c>
      <c r="H24" s="55">
        <f>'SC-Retro'!B68</f>
        <v>-143.66876563424663</v>
      </c>
      <c r="I24" s="7" t="str">
        <f>'SC-Retro'!C68</f>
        <v>Manufactured</v>
      </c>
      <c r="J24" s="7" t="str">
        <f>'SC-Retro'!D68</f>
        <v>MH Showerhead Replace_1_75gpm_Any Shower_ AnyWH</v>
      </c>
      <c r="K24" s="26">
        <f ca="1">'SC-Retro'!E68</f>
        <v>0.25185514722483554</v>
      </c>
      <c r="L24" s="26">
        <f ca="1">'SC-Retro'!F68</f>
        <v>0.24996073121111775</v>
      </c>
      <c r="M24" s="26">
        <f ca="1">'SC-Retro'!G68</f>
        <v>0.24807410070513009</v>
      </c>
      <c r="N24" s="26">
        <f ca="1">'SC-Retro'!H68</f>
        <v>0.24621657485330098</v>
      </c>
      <c r="O24" s="26">
        <f ca="1">'SC-Retro'!I68</f>
        <v>0.24438779240814376</v>
      </c>
      <c r="P24" s="26">
        <f ca="1">'SC-Retro'!J68</f>
        <v>0.21828227650273332</v>
      </c>
      <c r="Q24" s="26">
        <f ca="1">'SC-Retro'!K68</f>
        <v>0.17328662264597594</v>
      </c>
      <c r="R24" s="26">
        <f ca="1">'SC-Retro'!L68</f>
        <v>0.1375637906295345</v>
      </c>
      <c r="S24" s="26">
        <f ca="1">'SC-Retro'!M68</f>
        <v>0.10920561418430734</v>
      </c>
      <c r="T24" s="26">
        <f ca="1">'SC-Retro'!N68</f>
        <v>8.6694705574158329E-2</v>
      </c>
      <c r="U24" s="26">
        <f ca="1">'SC-Retro'!O68</f>
        <v>6.8824879446546097E-2</v>
      </c>
      <c r="V24" s="26">
        <f ca="1">'SC-Retro'!P68</f>
        <v>5.4638651388019141E-2</v>
      </c>
      <c r="W24" s="26">
        <f ca="1">'SC-Retro'!Q68</f>
        <v>4.3377464359229151E-2</v>
      </c>
      <c r="X24" s="26">
        <f ca="1">'SC-Retro'!R68</f>
        <v>3.4438426641346186E-2</v>
      </c>
      <c r="Y24" s="26">
        <f ca="1">'SC-Retro'!S68</f>
        <v>2.7342547831208139E-2</v>
      </c>
      <c r="Z24" s="26">
        <f ca="1">'SC-Retro'!T68</f>
        <v>2.1709605385567352E-2</v>
      </c>
      <c r="AA24" s="26">
        <f ca="1">'SC-Retro'!U68</f>
        <v>1.4696898133786178E-4</v>
      </c>
      <c r="AB24" s="26">
        <f ca="1">'SC-Retro'!V68</f>
        <v>5.2099163997457396E-5</v>
      </c>
      <c r="AC24" s="26">
        <f ca="1">'SC-Retro'!W68</f>
        <v>1.76301553271575E-5</v>
      </c>
      <c r="AD24" s="26">
        <f ca="1">'SC-Retro'!X68</f>
        <v>5.7069031904533442E-6</v>
      </c>
      <c r="AE24" s="26">
        <f ca="1">'SC-Retro'!Y68</f>
        <v>1.993859216380186</v>
      </c>
      <c r="AF24" s="311">
        <f t="shared" si="2"/>
        <v>5.5634041633484603</v>
      </c>
      <c r="AG24" s="311">
        <f t="shared" si="3"/>
        <v>4.9838742506752505</v>
      </c>
      <c r="AH24" s="311">
        <f t="shared" si="4"/>
        <v>5.7333590373934422</v>
      </c>
      <c r="AI24" s="311">
        <f t="shared" si="5"/>
        <v>4.9722793350885786</v>
      </c>
      <c r="AJ24" s="311">
        <f t="shared" si="6"/>
        <v>4.7426839800497591</v>
      </c>
      <c r="AK24" s="311">
        <f t="shared" si="7"/>
        <v>4.6240250751456164</v>
      </c>
      <c r="AL24" s="311">
        <f t="shared" si="8"/>
        <v>3.9134708927159396</v>
      </c>
      <c r="AM24" s="311">
        <f t="shared" si="9"/>
        <v>4.0926763269971298</v>
      </c>
      <c r="AN24" s="311">
        <f t="shared" si="10"/>
        <v>3.839527242105075</v>
      </c>
      <c r="AO24" s="311">
        <f t="shared" si="11"/>
        <v>4.6355354547529872</v>
      </c>
      <c r="AP24" s="311">
        <f t="shared" si="12"/>
        <v>4.7512427942223017</v>
      </c>
      <c r="AQ24" s="311">
        <f t="shared" si="13"/>
        <v>5.5241674632748143</v>
      </c>
      <c r="AR24" s="311"/>
      <c r="AS24" s="311">
        <f t="shared" si="14"/>
        <v>2.7916231702586645</v>
      </c>
      <c r="AT24" s="311">
        <f t="shared" si="15"/>
        <v>2.3383264826558623</v>
      </c>
      <c r="AU24" s="311">
        <f t="shared" si="16"/>
        <v>2.2325283749981053</v>
      </c>
      <c r="AV24" s="311">
        <f t="shared" si="17"/>
        <v>2.3223570176368442</v>
      </c>
      <c r="AW24" s="311">
        <f t="shared" si="18"/>
        <v>2.320723469008239</v>
      </c>
      <c r="AX24" s="311">
        <f t="shared" si="19"/>
        <v>1.9241415591425954</v>
      </c>
      <c r="AY24" s="311">
        <f t="shared" si="20"/>
        <v>2.0921992270654211</v>
      </c>
      <c r="AZ24" s="311">
        <f t="shared" si="21"/>
        <v>1.6426001598785167</v>
      </c>
      <c r="BA24" s="311">
        <f t="shared" si="22"/>
        <v>2.02374897573416</v>
      </c>
      <c r="BB24" s="311">
        <f t="shared" si="23"/>
        <v>1.8880849645313567</v>
      </c>
      <c r="BC24" s="311">
        <f t="shared" si="24"/>
        <v>2.4726324302802127</v>
      </c>
      <c r="BD24" s="311">
        <f t="shared" si="25"/>
        <v>2.7158863674278422</v>
      </c>
    </row>
    <row r="25" spans="1:56" ht="15">
      <c r="A25" s="53" t="str">
        <f>VLOOKUP(CONCATENATE($C25," - ",$B25),[2]ACHIEV!$B$12:$C$78,2,FALSE)</f>
        <v>Retro12Med</v>
      </c>
      <c r="B25" s="53" t="str">
        <f>'SC-Retro'!$C$7</f>
        <v>Retro</v>
      </c>
      <c r="C25" s="53" t="str">
        <f>'SC-Retro'!$C$8</f>
        <v>Showerheads</v>
      </c>
      <c r="D25" s="53" t="s">
        <v>219</v>
      </c>
      <c r="E25" s="53" t="str">
        <f>'SC-Retro'!$A$9</f>
        <v>Water Heating</v>
      </c>
      <c r="F25" s="310">
        <f t="shared" si="1"/>
        <v>1.1404455776372774E-2</v>
      </c>
      <c r="G25" s="55">
        <f>'SC-Retro'!A69</f>
        <v>58.930558362050633</v>
      </c>
      <c r="H25" s="55">
        <f>'SC-Retro'!B69</f>
        <v>-230.16854242343911</v>
      </c>
      <c r="I25" s="7" t="str">
        <f>'SC-Retro'!C69</f>
        <v>Single Family</v>
      </c>
      <c r="J25" s="7" t="str">
        <f>'SC-Retro'!D69</f>
        <v>SF Showerhead Replace_1_50gpm_Any Shower_ AnyWH</v>
      </c>
      <c r="K25" s="26">
        <f ca="1">'SC-Retro'!E69</f>
        <v>1.8195405947941861</v>
      </c>
      <c r="L25" s="26">
        <f ca="1">'SC-Retro'!F69</f>
        <v>1.8455338946463953</v>
      </c>
      <c r="M25" s="26">
        <f ca="1">'SC-Retro'!G69</f>
        <v>1.8687754986558933</v>
      </c>
      <c r="N25" s="26">
        <f ca="1">'SC-Retro'!H69</f>
        <v>1.8892228158535238</v>
      </c>
      <c r="O25" s="26">
        <f ca="1">'SC-Retro'!I69</f>
        <v>1.9075490236113224</v>
      </c>
      <c r="P25" s="26">
        <f ca="1">'SC-Retro'!J69</f>
        <v>1.7315874325187628</v>
      </c>
      <c r="Q25" s="26">
        <f ca="1">'SC-Retro'!K69</f>
        <v>1.395613591844455</v>
      </c>
      <c r="R25" s="26">
        <f ca="1">'SC-Retro'!L69</f>
        <v>1.1239773031408773</v>
      </c>
      <c r="S25" s="26">
        <f ca="1">'SC-Retro'!M69</f>
        <v>0.9048205822776052</v>
      </c>
      <c r="T25" s="26">
        <f ca="1">'SC-Retro'!N69</f>
        <v>0.72810806919734072</v>
      </c>
      <c r="U25" s="26">
        <f ca="1">'SC-Retro'!O69</f>
        <v>0.58584136358597261</v>
      </c>
      <c r="V25" s="26">
        <f ca="1">'SC-Retro'!P69</f>
        <v>0.47130029853647365</v>
      </c>
      <c r="W25" s="26">
        <f ca="1">'SC-Retro'!Q69</f>
        <v>0.37905370589569731</v>
      </c>
      <c r="X25" s="26">
        <f ca="1">'SC-Retro'!R69</f>
        <v>0.30476314535801213</v>
      </c>
      <c r="Y25" s="26">
        <f ca="1">'SC-Retro'!S69</f>
        <v>0.24500826529075262</v>
      </c>
      <c r="Z25" s="26">
        <f ca="1">'SC-Retro'!T69</f>
        <v>0.19696763001631795</v>
      </c>
      <c r="AA25" s="26">
        <f ca="1">'SC-Retro'!U69</f>
        <v>1.3499171398870986E-3</v>
      </c>
      <c r="AB25" s="26">
        <f ca="1">'SC-Retro'!V69</f>
        <v>4.8431041156071991E-4</v>
      </c>
      <c r="AC25" s="26">
        <f ca="1">'SC-Retro'!W69</f>
        <v>1.6585372530950949E-4</v>
      </c>
      <c r="AD25" s="26">
        <f ca="1">'SC-Retro'!X69</f>
        <v>5.432773535981259E-5</v>
      </c>
      <c r="AE25" s="26">
        <f ca="1">'SC-Retro'!Y69</f>
        <v>18.980846921221598</v>
      </c>
      <c r="AF25" s="311">
        <f t="shared" si="2"/>
        <v>3.8964848415042734</v>
      </c>
      <c r="AG25" s="311">
        <f t="shared" si="3"/>
        <v>3.4905949486207137</v>
      </c>
      <c r="AH25" s="311">
        <f t="shared" si="4"/>
        <v>4.0155174645192915</v>
      </c>
      <c r="AI25" s="311">
        <f t="shared" si="5"/>
        <v>3.4824741269986519</v>
      </c>
      <c r="AJ25" s="311">
        <f t="shared" si="6"/>
        <v>3.3216706343309341</v>
      </c>
      <c r="AK25" s="311">
        <f t="shared" si="7"/>
        <v>3.2385645700053449</v>
      </c>
      <c r="AL25" s="311">
        <f t="shared" si="8"/>
        <v>2.7409081856023261</v>
      </c>
      <c r="AM25" s="311">
        <f t="shared" si="9"/>
        <v>2.8664196957658405</v>
      </c>
      <c r="AN25" s="311">
        <f t="shared" si="10"/>
        <v>2.6891196932923749</v>
      </c>
      <c r="AO25" s="311">
        <f t="shared" si="11"/>
        <v>3.2466261845030928</v>
      </c>
      <c r="AP25" s="311">
        <f t="shared" si="12"/>
        <v>3.3276650378841168</v>
      </c>
      <c r="AQ25" s="311">
        <f t="shared" si="13"/>
        <v>3.8690043273121151</v>
      </c>
      <c r="AR25" s="311"/>
      <c r="AS25" s="311">
        <f t="shared" si="14"/>
        <v>1.9551909310788074</v>
      </c>
      <c r="AT25" s="311">
        <f t="shared" si="15"/>
        <v>1.6377119883148592</v>
      </c>
      <c r="AU25" s="311">
        <f t="shared" si="16"/>
        <v>1.5636133410398478</v>
      </c>
      <c r="AV25" s="311">
        <f t="shared" si="17"/>
        <v>1.6265273293279261</v>
      </c>
      <c r="AW25" s="311">
        <f t="shared" si="18"/>
        <v>1.6253832281117762</v>
      </c>
      <c r="AX25" s="311">
        <f t="shared" si="19"/>
        <v>1.3476260573517365</v>
      </c>
      <c r="AY25" s="311">
        <f t="shared" si="20"/>
        <v>1.465329919291855</v>
      </c>
      <c r="AZ25" s="311">
        <f t="shared" si="21"/>
        <v>1.1504407078285916</v>
      </c>
      <c r="BA25" s="311">
        <f t="shared" si="22"/>
        <v>1.4173888819560225</v>
      </c>
      <c r="BB25" s="311">
        <f t="shared" si="23"/>
        <v>1.322372818468873</v>
      </c>
      <c r="BC25" s="311">
        <f t="shared" si="24"/>
        <v>1.7317768942028355</v>
      </c>
      <c r="BD25" s="311">
        <f t="shared" si="25"/>
        <v>1.9021465547384266</v>
      </c>
    </row>
    <row r="26" spans="1:56" ht="15">
      <c r="A26" s="53" t="str">
        <f>VLOOKUP(CONCATENATE($C26," - ",$B26),[2]ACHIEV!$B$12:$C$78,2,FALSE)</f>
        <v>Retro12Med</v>
      </c>
      <c r="B26" s="53" t="str">
        <f>'SC-Retro'!$C$7</f>
        <v>Retro</v>
      </c>
      <c r="C26" s="53" t="str">
        <f>'SC-Retro'!$C$8</f>
        <v>Showerheads</v>
      </c>
      <c r="D26" s="53" t="s">
        <v>219</v>
      </c>
      <c r="E26" s="53" t="str">
        <f>'SC-Retro'!$A$9</f>
        <v>Water Heating</v>
      </c>
      <c r="F26" s="310">
        <f t="shared" si="1"/>
        <v>1.3810766777781352E-2</v>
      </c>
      <c r="G26" s="55">
        <f>'SC-Retro'!A70</f>
        <v>71.364755458902735</v>
      </c>
      <c r="H26" s="55">
        <f>'SC-Retro'!B70</f>
        <v>-129.37879763441686</v>
      </c>
      <c r="I26" s="7" t="str">
        <f>'SC-Retro'!C70</f>
        <v>Multifamily - Low Rise</v>
      </c>
      <c r="J26" s="7" t="str">
        <f>'SC-Retro'!D70</f>
        <v>MF Showerhead Replace_1_50gpm_Any Shower_ AnyWH</v>
      </c>
      <c r="K26" s="26">
        <f ca="1">'SC-Retro'!E70</f>
        <v>0.51046609385667252</v>
      </c>
      <c r="L26" s="26">
        <f ca="1">'SC-Retro'!F70</f>
        <v>0.52144523285587197</v>
      </c>
      <c r="M26" s="26">
        <f ca="1">'SC-Retro'!G70</f>
        <v>0.53160590460102164</v>
      </c>
      <c r="N26" s="26">
        <f ca="1">'SC-Retro'!H70</f>
        <v>0.54099011712859579</v>
      </c>
      <c r="O26" s="26">
        <f ca="1">'SC-Retro'!I70</f>
        <v>0.54938537917990615</v>
      </c>
      <c r="P26" s="26">
        <f ca="1">'SC-Retro'!J70</f>
        <v>0.5009548460464992</v>
      </c>
      <c r="Q26" s="26">
        <f ca="1">'SC-Retro'!K70</f>
        <v>0.40536900991242297</v>
      </c>
      <c r="R26" s="26">
        <f ca="1">'SC-Retro'!L70</f>
        <v>0.32769621983075042</v>
      </c>
      <c r="S26" s="26">
        <f ca="1">'SC-Retro'!M70</f>
        <v>0.26477958112365035</v>
      </c>
      <c r="T26" s="26">
        <f ca="1">'SC-Retro'!N70</f>
        <v>0.21387922478642049</v>
      </c>
      <c r="U26" s="26">
        <f ca="1">'SC-Retro'!O70</f>
        <v>0.17273354676724853</v>
      </c>
      <c r="V26" s="26">
        <f ca="1">'SC-Retro'!P70</f>
        <v>0.13945388541935264</v>
      </c>
      <c r="W26" s="26">
        <f ca="1">'SC-Retro'!Q70</f>
        <v>0.11254923715058669</v>
      </c>
      <c r="X26" s="26">
        <f ca="1">'SC-Retro'!R70</f>
        <v>9.0812053564836598E-2</v>
      </c>
      <c r="Y26" s="26">
        <f ca="1">'SC-Retro'!S70</f>
        <v>7.3248372671378306E-2</v>
      </c>
      <c r="Z26" s="26">
        <f ca="1">'SC-Retro'!T70</f>
        <v>5.9063574738777019E-2</v>
      </c>
      <c r="AA26" s="26">
        <f ca="1">'SC-Retro'!U70</f>
        <v>4.0591249179909166E-4</v>
      </c>
      <c r="AB26" s="26">
        <f ca="1">'SC-Retro'!V70</f>
        <v>1.4603674312554319E-4</v>
      </c>
      <c r="AC26" s="26">
        <f ca="1">'SC-Retro'!W70</f>
        <v>5.0143782310247491E-5</v>
      </c>
      <c r="AD26" s="26">
        <f ca="1">'SC-Retro'!X70</f>
        <v>1.6465397132875043E-5</v>
      </c>
      <c r="AE26" s="26">
        <f ca="1">'SC-Retro'!Y70</f>
        <v>5.7526267275150458</v>
      </c>
      <c r="AF26" s="311">
        <f t="shared" si="2"/>
        <v>4.7186331776272974</v>
      </c>
      <c r="AG26" s="311">
        <f t="shared" si="3"/>
        <v>4.2271015554268745</v>
      </c>
      <c r="AH26" s="311">
        <f t="shared" si="4"/>
        <v>4.8627813796672239</v>
      </c>
      <c r="AI26" s="311">
        <f t="shared" si="5"/>
        <v>4.217267261211922</v>
      </c>
      <c r="AJ26" s="311">
        <f t="shared" si="6"/>
        <v>4.0225346428534454</v>
      </c>
      <c r="AK26" s="311">
        <f t="shared" si="7"/>
        <v>3.9218934115026363</v>
      </c>
      <c r="AL26" s="311">
        <f t="shared" si="8"/>
        <v>3.319232802769057</v>
      </c>
      <c r="AM26" s="311">
        <f t="shared" si="9"/>
        <v>3.4712269205757682</v>
      </c>
      <c r="AN26" s="311">
        <f t="shared" si="10"/>
        <v>3.2565170710330933</v>
      </c>
      <c r="AO26" s="311">
        <f t="shared" si="11"/>
        <v>3.9316560060414685</v>
      </c>
      <c r="AP26" s="311">
        <f t="shared" si="12"/>
        <v>4.0297938502253947</v>
      </c>
      <c r="AQ26" s="311">
        <f t="shared" si="13"/>
        <v>4.6853543452232387</v>
      </c>
      <c r="AR26" s="311"/>
      <c r="AS26" s="311">
        <f t="shared" si="14"/>
        <v>2.3677312170481208</v>
      </c>
      <c r="AT26" s="311">
        <f t="shared" si="15"/>
        <v>1.9832650293275851</v>
      </c>
      <c r="AU26" s="311">
        <f t="shared" si="16"/>
        <v>1.8935317569881531</v>
      </c>
      <c r="AV26" s="311">
        <f t="shared" si="17"/>
        <v>1.9697204358996749</v>
      </c>
      <c r="AW26" s="311">
        <f t="shared" si="18"/>
        <v>1.9683349322530075</v>
      </c>
      <c r="AX26" s="311">
        <f t="shared" si="19"/>
        <v>1.6319717088389953</v>
      </c>
      <c r="AY26" s="311">
        <f t="shared" si="20"/>
        <v>1.7745107846155839</v>
      </c>
      <c r="AZ26" s="311">
        <f t="shared" si="21"/>
        <v>1.3931807548768238</v>
      </c>
      <c r="BA26" s="311">
        <f t="shared" si="22"/>
        <v>1.7164543110132393</v>
      </c>
      <c r="BB26" s="311">
        <f t="shared" si="23"/>
        <v>1.6013901011381362</v>
      </c>
      <c r="BC26" s="311">
        <f t="shared" si="24"/>
        <v>2.0971773897827175</v>
      </c>
      <c r="BD26" s="311">
        <f t="shared" si="25"/>
        <v>2.3034946129632865</v>
      </c>
    </row>
    <row r="27" spans="1:56" ht="15">
      <c r="A27" s="53" t="str">
        <f>VLOOKUP(CONCATENATE($C27," - ",$B27),[2]ACHIEV!$B$12:$C$78,2,FALSE)</f>
        <v>Retro12Med</v>
      </c>
      <c r="B27" s="53" t="str">
        <f>'SC-Retro'!$C$7</f>
        <v>Retro</v>
      </c>
      <c r="C27" s="53" t="str">
        <f>'SC-Retro'!$C$8</f>
        <v>Showerheads</v>
      </c>
      <c r="D27" s="53" t="s">
        <v>219</v>
      </c>
      <c r="E27" s="53" t="str">
        <f>'SC-Retro'!$A$9</f>
        <v>Water Heating</v>
      </c>
      <c r="F27" s="310">
        <f t="shared" si="1"/>
        <v>1.3810766777781352E-2</v>
      </c>
      <c r="G27" s="55">
        <f>'SC-Retro'!A71</f>
        <v>71.364755458902735</v>
      </c>
      <c r="H27" s="55">
        <f>'SC-Retro'!B71</f>
        <v>-129.37879763441686</v>
      </c>
      <c r="I27" s="7" t="str">
        <f>'SC-Retro'!C71</f>
        <v>Multifamily - High Rise</v>
      </c>
      <c r="J27" s="7" t="str">
        <f>'SC-Retro'!D71</f>
        <v>MF Showerhead Replace_1_50gpm_Any Shower_ AnyWH</v>
      </c>
      <c r="K27" s="26">
        <f ca="1">'SC-Retro'!E71</f>
        <v>0.11638440523639609</v>
      </c>
      <c r="L27" s="26">
        <f ca="1">'SC-Retro'!F71</f>
        <v>0.11884506520713445</v>
      </c>
      <c r="M27" s="26">
        <f ca="1">'SC-Retro'!G71</f>
        <v>0.12115776019595435</v>
      </c>
      <c r="N27" s="26">
        <f ca="1">'SC-Retro'!H71</f>
        <v>0.12332980141378687</v>
      </c>
      <c r="O27" s="26">
        <f ca="1">'SC-Retro'!I71</f>
        <v>0.12522244039199207</v>
      </c>
      <c r="P27" s="26">
        <f ca="1">'SC-Retro'!J71</f>
        <v>0.11413407472411102</v>
      </c>
      <c r="Q27" s="26">
        <f ca="1">'SC-Retro'!K71</f>
        <v>9.2339271410710494E-2</v>
      </c>
      <c r="R27" s="26">
        <f ca="1">'SC-Retro'!L71</f>
        <v>7.4636099840511644E-2</v>
      </c>
      <c r="S27" s="26">
        <f ca="1">'SC-Retro'!M71</f>
        <v>6.0307317934715436E-2</v>
      </c>
      <c r="T27" s="26">
        <f ca="1">'SC-Retro'!N71</f>
        <v>4.8710932430720368E-2</v>
      </c>
      <c r="U27" s="26">
        <f ca="1">'SC-Retro'!O71</f>
        <v>3.9337527593922117E-2</v>
      </c>
      <c r="V27" s="26">
        <f ca="1">'SC-Retro'!P71</f>
        <v>3.1752463391611828E-2</v>
      </c>
      <c r="W27" s="26">
        <f ca="1">'SC-Retro'!Q71</f>
        <v>2.5621249850424826E-2</v>
      </c>
      <c r="X27" s="26">
        <f ca="1">'SC-Retro'!R71</f>
        <v>2.0666980727762685E-2</v>
      </c>
      <c r="Y27" s="26">
        <f ca="1">'SC-Retro'!S71</f>
        <v>1.666654964867632E-2</v>
      </c>
      <c r="Z27" s="26">
        <f ca="1">'SC-Retro'!T71</f>
        <v>1.3437074195102591E-2</v>
      </c>
      <c r="AA27" s="26">
        <f ca="1">'SC-Retro'!U71</f>
        <v>9.2332505484768216E-5</v>
      </c>
      <c r="AB27" s="26">
        <f ca="1">'SC-Retro'!V71</f>
        <v>3.3214536029399894E-5</v>
      </c>
      <c r="AC27" s="26">
        <f ca="1">'SC-Retro'!W71</f>
        <v>1.1402191375128982E-5</v>
      </c>
      <c r="AD27" s="26">
        <f ca="1">'SC-Retro'!X71</f>
        <v>3.7437754414949855E-6</v>
      </c>
      <c r="AE27" s="26">
        <f ca="1">'SC-Retro'!Y71</f>
        <v>1.3079880486792712</v>
      </c>
      <c r="AF27" s="311">
        <f t="shared" si="2"/>
        <v>4.7186331776272974</v>
      </c>
      <c r="AG27" s="311">
        <f t="shared" si="3"/>
        <v>4.2271015554268745</v>
      </c>
      <c r="AH27" s="311">
        <f t="shared" si="4"/>
        <v>4.8627813796672239</v>
      </c>
      <c r="AI27" s="311">
        <f t="shared" si="5"/>
        <v>4.217267261211922</v>
      </c>
      <c r="AJ27" s="311">
        <f t="shared" si="6"/>
        <v>4.0225346428534454</v>
      </c>
      <c r="AK27" s="311">
        <f t="shared" si="7"/>
        <v>3.9218934115026363</v>
      </c>
      <c r="AL27" s="311">
        <f t="shared" si="8"/>
        <v>3.319232802769057</v>
      </c>
      <c r="AM27" s="311">
        <f t="shared" si="9"/>
        <v>3.4712269205757682</v>
      </c>
      <c r="AN27" s="311">
        <f t="shared" si="10"/>
        <v>3.2565170710330933</v>
      </c>
      <c r="AO27" s="311">
        <f t="shared" si="11"/>
        <v>3.9316560060414685</v>
      </c>
      <c r="AP27" s="311">
        <f t="shared" si="12"/>
        <v>4.0297938502253947</v>
      </c>
      <c r="AQ27" s="311">
        <f t="shared" si="13"/>
        <v>4.6853543452232387</v>
      </c>
      <c r="AR27" s="311"/>
      <c r="AS27" s="311">
        <f t="shared" si="14"/>
        <v>2.3677312170481208</v>
      </c>
      <c r="AT27" s="311">
        <f t="shared" si="15"/>
        <v>1.9832650293275851</v>
      </c>
      <c r="AU27" s="311">
        <f t="shared" si="16"/>
        <v>1.8935317569881531</v>
      </c>
      <c r="AV27" s="311">
        <f t="shared" si="17"/>
        <v>1.9697204358996749</v>
      </c>
      <c r="AW27" s="311">
        <f t="shared" si="18"/>
        <v>1.9683349322530075</v>
      </c>
      <c r="AX27" s="311">
        <f t="shared" si="19"/>
        <v>1.6319717088389953</v>
      </c>
      <c r="AY27" s="311">
        <f t="shared" si="20"/>
        <v>1.7745107846155839</v>
      </c>
      <c r="AZ27" s="311">
        <f t="shared" si="21"/>
        <v>1.3931807548768238</v>
      </c>
      <c r="BA27" s="311">
        <f t="shared" si="22"/>
        <v>1.7164543110132393</v>
      </c>
      <c r="BB27" s="311">
        <f t="shared" si="23"/>
        <v>1.6013901011381362</v>
      </c>
      <c r="BC27" s="311">
        <f t="shared" si="24"/>
        <v>2.0971773897827175</v>
      </c>
      <c r="BD27" s="311">
        <f t="shared" si="25"/>
        <v>2.3034946129632865</v>
      </c>
    </row>
    <row r="28" spans="1:56" ht="15">
      <c r="A28" s="53" t="str">
        <f>VLOOKUP(CONCATENATE($C28," - ",$B28),[2]ACHIEV!$B$12:$C$78,2,FALSE)</f>
        <v>Retro12Med</v>
      </c>
      <c r="B28" s="53" t="str">
        <f>'SC-Retro'!$C$7</f>
        <v>Retro</v>
      </c>
      <c r="C28" s="53" t="str">
        <f>'SC-Retro'!$C$8</f>
        <v>Showerheads</v>
      </c>
      <c r="D28" s="53" t="s">
        <v>219</v>
      </c>
      <c r="E28" s="53" t="str">
        <f>'SC-Retro'!$A$9</f>
        <v>Water Heating</v>
      </c>
      <c r="F28" s="310">
        <f t="shared" si="1"/>
        <v>1.6948921418665028E-2</v>
      </c>
      <c r="G28" s="55">
        <f>'SC-Retro'!A72</f>
        <v>87.580628345785399</v>
      </c>
      <c r="H28" s="55">
        <f>'SC-Retro'!B72</f>
        <v>-138.56814270757619</v>
      </c>
      <c r="I28" s="7" t="str">
        <f>'SC-Retro'!C72</f>
        <v>Manufactured</v>
      </c>
      <c r="J28" s="7" t="str">
        <f>'SC-Retro'!D72</f>
        <v>MH Showerhead Replace_1_50gpm_Any Shower_ AnyWH</v>
      </c>
      <c r="K28" s="26">
        <f ca="1">'SC-Retro'!E72</f>
        <v>0.26215051281918955</v>
      </c>
      <c r="L28" s="26">
        <f ca="1">'SC-Retro'!F72</f>
        <v>0.2601786566353424</v>
      </c>
      <c r="M28" s="26">
        <f ca="1">'SC-Retro'!G72</f>
        <v>0.25821490421616522</v>
      </c>
      <c r="N28" s="26">
        <f ca="1">'SC-Retro'!H72</f>
        <v>0.25628144619476856</v>
      </c>
      <c r="O28" s="26">
        <f ca="1">'SC-Retro'!I72</f>
        <v>0.25437790655654663</v>
      </c>
      <c r="P28" s="26">
        <f ca="1">'SC-Retro'!J72</f>
        <v>0.2272052461705214</v>
      </c>
      <c r="Q28" s="26">
        <f ca="1">'SC-Retro'!K72</f>
        <v>0.18037025445739388</v>
      </c>
      <c r="R28" s="26">
        <f ca="1">'SC-Retro'!L72</f>
        <v>0.14318714013293729</v>
      </c>
      <c r="S28" s="26">
        <f ca="1">'SC-Retro'!M72</f>
        <v>0.11366973467329509</v>
      </c>
      <c r="T28" s="26">
        <f ca="1">'SC-Retro'!N72</f>
        <v>9.023862238036931E-2</v>
      </c>
      <c r="U28" s="26">
        <f ca="1">'SC-Retro'!O72</f>
        <v>7.1638311308857672E-2</v>
      </c>
      <c r="V28" s="26">
        <f ca="1">'SC-Retro'!P72</f>
        <v>5.6872176880035138E-2</v>
      </c>
      <c r="W28" s="26">
        <f ca="1">'SC-Retro'!Q72</f>
        <v>4.5150653666873701E-2</v>
      </c>
      <c r="X28" s="26">
        <f ca="1">'SC-Retro'!R72</f>
        <v>3.5846204868925861E-2</v>
      </c>
      <c r="Y28" s="26">
        <f ca="1">'SC-Retro'!S72</f>
        <v>2.8460259854588374E-2</v>
      </c>
      <c r="Z28" s="26">
        <f ca="1">'SC-Retro'!T72</f>
        <v>2.2597053296862339E-2</v>
      </c>
      <c r="AA28" s="26">
        <f ca="1">'SC-Retro'!U72</f>
        <v>1.5297679738043922E-4</v>
      </c>
      <c r="AB28" s="26">
        <f ca="1">'SC-Retro'!V72</f>
        <v>5.422888001249357E-5</v>
      </c>
      <c r="AC28" s="26">
        <f ca="1">'SC-Retro'!W72</f>
        <v>1.8350842978684024E-5</v>
      </c>
      <c r="AD28" s="26">
        <f ca="1">'SC-Retro'!X72</f>
        <v>5.9401906789351699E-6</v>
      </c>
      <c r="AE28" s="26">
        <f ca="1">'SC-Retro'!Y72</f>
        <v>2.0753644379430427</v>
      </c>
      <c r="AF28" s="311">
        <f t="shared" si="2"/>
        <v>5.7908256810023788</v>
      </c>
      <c r="AG28" s="311">
        <f t="shared" si="3"/>
        <v>5.1876056734886289</v>
      </c>
      <c r="AH28" s="311">
        <f t="shared" si="4"/>
        <v>5.9677279912308805</v>
      </c>
      <c r="AI28" s="311">
        <f t="shared" si="5"/>
        <v>5.1755367795206695</v>
      </c>
      <c r="AJ28" s="311">
        <f t="shared" si="6"/>
        <v>4.9365559974022917</v>
      </c>
      <c r="AK28" s="311">
        <f t="shared" si="7"/>
        <v>4.8130465392318174</v>
      </c>
      <c r="AL28" s="311">
        <f t="shared" si="8"/>
        <v>4.0734462357944166</v>
      </c>
      <c r="AM28" s="311">
        <f t="shared" si="9"/>
        <v>4.2599772517948988</v>
      </c>
      <c r="AN28" s="311">
        <f t="shared" si="10"/>
        <v>3.9964799075658477</v>
      </c>
      <c r="AO28" s="311">
        <f t="shared" si="11"/>
        <v>4.8250274415483458</v>
      </c>
      <c r="AP28" s="311">
        <f t="shared" si="12"/>
        <v>4.9454646798301845</v>
      </c>
      <c r="AQ28" s="311">
        <f t="shared" si="13"/>
        <v>5.7499850582913554</v>
      </c>
      <c r="AR28" s="311"/>
      <c r="AS28" s="311">
        <f t="shared" si="14"/>
        <v>2.9057394845614448</v>
      </c>
      <c r="AT28" s="311">
        <f t="shared" si="15"/>
        <v>2.4339128793730618</v>
      </c>
      <c r="AU28" s="311">
        <f t="shared" si="16"/>
        <v>2.3237899436959868</v>
      </c>
      <c r="AV28" s="311">
        <f t="shared" si="17"/>
        <v>2.417290612604591</v>
      </c>
      <c r="AW28" s="311">
        <f t="shared" si="18"/>
        <v>2.4155902875748168</v>
      </c>
      <c r="AX28" s="311">
        <f t="shared" si="19"/>
        <v>2.0027968537631131</v>
      </c>
      <c r="AY28" s="311">
        <f t="shared" si="20"/>
        <v>2.1777244036449339</v>
      </c>
      <c r="AZ28" s="311">
        <f t="shared" si="21"/>
        <v>1.7097465706532653</v>
      </c>
      <c r="BA28" s="311">
        <f t="shared" si="22"/>
        <v>2.1064760345454006</v>
      </c>
      <c r="BB28" s="311">
        <f t="shared" si="23"/>
        <v>1.9652663332555782</v>
      </c>
      <c r="BC28" s="311">
        <f t="shared" si="24"/>
        <v>2.5737090019949256</v>
      </c>
      <c r="BD28" s="311">
        <f t="shared" si="25"/>
        <v>2.8269067034165691</v>
      </c>
    </row>
    <row r="29" spans="1:56" ht="15">
      <c r="A29" s="53" t="str">
        <f>VLOOKUP(CONCATENATE($C29," - ",$B29),[2]ACHIEV!$B$12:$C$78,2,FALSE)</f>
        <v>Retro12Med</v>
      </c>
      <c r="B29" s="53" t="str">
        <f>'SC-Retro'!$C$7</f>
        <v>Retro</v>
      </c>
      <c r="C29" s="53" t="str">
        <f>'SC-Retro'!$C$8</f>
        <v>Showerheads</v>
      </c>
      <c r="D29" s="53" t="s">
        <v>219</v>
      </c>
      <c r="E29" s="53" t="str">
        <f>'SC-Retro'!$A$9</f>
        <v>Water Heating</v>
      </c>
      <c r="F29" s="310">
        <f t="shared" si="1"/>
        <v>3.9445477611198661E-2</v>
      </c>
      <c r="G29" s="55">
        <f>'SC-Retro'!A73</f>
        <v>186.98267334641028</v>
      </c>
      <c r="H29" s="55">
        <f>'SC-Retro'!B73</f>
        <v>-231.84961524302932</v>
      </c>
      <c r="I29" s="7" t="str">
        <f>'SC-Retro'!C73</f>
        <v>Single Family</v>
      </c>
      <c r="J29" s="7" t="str">
        <f>'SC-Retro'!D73</f>
        <v>SF Showerhead Replace_1_50GPM_any shower_HPWH</v>
      </c>
      <c r="K29" s="26">
        <f ca="1">'SC-Retro'!E73</f>
        <v>0.78726534045849894</v>
      </c>
      <c r="L29" s="26">
        <f ca="1">'SC-Retro'!F73</f>
        <v>0.79851192880961175</v>
      </c>
      <c r="M29" s="26">
        <f ca="1">'SC-Retro'!G73</f>
        <v>0.80856793379553449</v>
      </c>
      <c r="N29" s="26">
        <f ca="1">'SC-Retro'!H73</f>
        <v>0.81741492747136202</v>
      </c>
      <c r="O29" s="26">
        <f ca="1">'SC-Retro'!I73</f>
        <v>0.82534417523370085</v>
      </c>
      <c r="P29" s="26">
        <f ca="1">'SC-Retro'!J73</f>
        <v>0.74921041800100097</v>
      </c>
      <c r="Q29" s="26">
        <f ca="1">'SC-Retro'!K73</f>
        <v>0.60384374642447192</v>
      </c>
      <c r="R29" s="26">
        <f ca="1">'SC-Retro'!L73</f>
        <v>0.4863141700473676</v>
      </c>
      <c r="S29" s="26">
        <f ca="1">'SC-Retro'!M73</f>
        <v>0.39149106417227825</v>
      </c>
      <c r="T29" s="26">
        <f ca="1">'SC-Retro'!N73</f>
        <v>0.31503240357880707</v>
      </c>
      <c r="U29" s="26">
        <f ca="1">'SC-Retro'!O73</f>
        <v>0.25347749969291078</v>
      </c>
      <c r="V29" s="26">
        <f ca="1">'SC-Retro'!P73</f>
        <v>0.20391872049849949</v>
      </c>
      <c r="W29" s="26">
        <f ca="1">'SC-Retro'!Q73</f>
        <v>0.16400614840790984</v>
      </c>
      <c r="X29" s="26">
        <f ca="1">'SC-Retro'!R73</f>
        <v>0.13186265922064663</v>
      </c>
      <c r="Y29" s="26">
        <f ca="1">'SC-Retro'!S73</f>
        <v>0.1060083605395397</v>
      </c>
      <c r="Z29" s="26">
        <f ca="1">'SC-Retro'!T73</f>
        <v>8.522249448446087E-2</v>
      </c>
      <c r="AA29" s="26">
        <f ca="1">'SC-Retro'!U73</f>
        <v>5.8407214423495171E-4</v>
      </c>
      <c r="AB29" s="26">
        <f ca="1">'SC-Retro'!V73</f>
        <v>2.0954783978758868E-4</v>
      </c>
      <c r="AC29" s="26">
        <f ca="1">'SC-Retro'!W73</f>
        <v>7.1760360772203945E-5</v>
      </c>
      <c r="AD29" s="26">
        <f ca="1">'SC-Retro'!X73</f>
        <v>2.3506121928112282E-5</v>
      </c>
      <c r="AE29" s="26">
        <f ca="1">'SC-Retro'!Y73</f>
        <v>8.2124921842243452</v>
      </c>
      <c r="AF29" s="311">
        <f t="shared" si="2"/>
        <v>14.532342798891818</v>
      </c>
      <c r="AG29" s="311">
        <f t="shared" si="3"/>
        <v>13.097471830233236</v>
      </c>
      <c r="AH29" s="311">
        <f t="shared" si="4"/>
        <v>14.659036467535334</v>
      </c>
      <c r="AI29" s="311">
        <f t="shared" si="5"/>
        <v>11.502867272316417</v>
      </c>
      <c r="AJ29" s="311">
        <f t="shared" si="6"/>
        <v>9.5555758595819142</v>
      </c>
      <c r="AK29" s="311">
        <f t="shared" si="7"/>
        <v>8.081811432865619</v>
      </c>
      <c r="AL29" s="311">
        <f t="shared" si="8"/>
        <v>6.9010966600759422</v>
      </c>
      <c r="AM29" s="311">
        <f t="shared" si="9"/>
        <v>7.0396350562747934</v>
      </c>
      <c r="AN29" s="311">
        <f t="shared" si="10"/>
        <v>6.9904705483474627</v>
      </c>
      <c r="AO29" s="311">
        <f t="shared" si="11"/>
        <v>9.3773334499331291</v>
      </c>
      <c r="AP29" s="311">
        <f t="shared" si="12"/>
        <v>10.376578782798427</v>
      </c>
      <c r="AQ29" s="311">
        <f t="shared" si="13"/>
        <v>14.147327899417421</v>
      </c>
      <c r="AR29" s="311"/>
      <c r="AS29" s="311">
        <f t="shared" si="14"/>
        <v>7.6412499332619008</v>
      </c>
      <c r="AT29" s="311">
        <f t="shared" si="15"/>
        <v>6.4353046617725349</v>
      </c>
      <c r="AU29" s="311">
        <f t="shared" si="16"/>
        <v>5.8977151351041881</v>
      </c>
      <c r="AV29" s="311">
        <f t="shared" si="17"/>
        <v>5.4934593048825624</v>
      </c>
      <c r="AW29" s="311">
        <f t="shared" si="18"/>
        <v>4.6671024354099417</v>
      </c>
      <c r="AX29" s="311">
        <f t="shared" si="19"/>
        <v>3.5228576351058751</v>
      </c>
      <c r="AY29" s="311">
        <f t="shared" si="20"/>
        <v>3.7000347452330451</v>
      </c>
      <c r="AZ29" s="311">
        <f t="shared" si="21"/>
        <v>3.0630486441228895</v>
      </c>
      <c r="BA29" s="311">
        <f t="shared" si="22"/>
        <v>3.6736062657579009</v>
      </c>
      <c r="BB29" s="311">
        <f t="shared" si="23"/>
        <v>3.8726515254318787</v>
      </c>
      <c r="BC29" s="311">
        <f t="shared" si="24"/>
        <v>5.3938713640329476</v>
      </c>
      <c r="BD29" s="311">
        <f t="shared" si="25"/>
        <v>7.3602236380230961</v>
      </c>
    </row>
    <row r="30" spans="1:56" ht="15">
      <c r="A30" s="53" t="str">
        <f>VLOOKUP(CONCATENATE($C30," - ",$B30),[2]ACHIEV!$B$12:$C$78,2,FALSE)</f>
        <v>Retro12Med</v>
      </c>
      <c r="B30" s="53" t="str">
        <f>'SC-Retro'!$C$7</f>
        <v>Retro</v>
      </c>
      <c r="C30" s="53" t="str">
        <f>'SC-Retro'!$C$8</f>
        <v>Showerheads</v>
      </c>
      <c r="D30" s="53" t="s">
        <v>219</v>
      </c>
      <c r="E30" s="53" t="str">
        <f>'SC-Retro'!$A$9</f>
        <v>Water Heating</v>
      </c>
      <c r="F30" s="310">
        <f t="shared" si="1"/>
        <v>3.3366714622985523E-2</v>
      </c>
      <c r="G30" s="55">
        <f>'SC-Retro'!A74</f>
        <v>172.41674324464179</v>
      </c>
      <c r="H30" s="55">
        <f>'SC-Retro'!B74</f>
        <v>-229.40191815461955</v>
      </c>
      <c r="I30" s="7" t="str">
        <f>'SC-Retro'!C74</f>
        <v>Manufactured</v>
      </c>
      <c r="J30" s="7" t="str">
        <f>'SC-Retro'!D74</f>
        <v>MH Showerhead Replace_1_50GPM_any shower_HPWH</v>
      </c>
      <c r="K30" s="26">
        <f ca="1">'SC-Retro'!E74</f>
        <v>7.0375365971460282E-2</v>
      </c>
      <c r="L30" s="26">
        <f ca="1">'SC-Retro'!F74</f>
        <v>6.984601319969197E-2</v>
      </c>
      <c r="M30" s="26">
        <f ca="1">'SC-Retro'!G74</f>
        <v>6.9318835916341567E-2</v>
      </c>
      <c r="N30" s="26">
        <f ca="1">'SC-Retro'!H74</f>
        <v>6.8799791286663123E-2</v>
      </c>
      <c r="O30" s="26">
        <f ca="1">'SC-Retro'!I74</f>
        <v>6.8288778368014211E-2</v>
      </c>
      <c r="P30" s="26">
        <f ca="1">'SC-Retro'!J74</f>
        <v>6.0994167731857743E-2</v>
      </c>
      <c r="Q30" s="26">
        <f ca="1">'SC-Retro'!K74</f>
        <v>4.8421124686334513E-2</v>
      </c>
      <c r="R30" s="26">
        <f ca="1">'SC-Retro'!L74</f>
        <v>3.8439167182604123E-2</v>
      </c>
      <c r="S30" s="26">
        <f ca="1">'SC-Retro'!M74</f>
        <v>3.051510024330709E-2</v>
      </c>
      <c r="T30" s="26">
        <f ca="1">'SC-Retro'!N74</f>
        <v>2.4224923333104508E-2</v>
      </c>
      <c r="U30" s="26">
        <f ca="1">'SC-Retro'!O74</f>
        <v>1.9231594558869067E-2</v>
      </c>
      <c r="V30" s="26">
        <f ca="1">'SC-Retro'!P74</f>
        <v>1.5267566019550883E-2</v>
      </c>
      <c r="W30" s="26">
        <f ca="1">'SC-Retro'!Q74</f>
        <v>1.2120875681248327E-2</v>
      </c>
      <c r="X30" s="26">
        <f ca="1">'SC-Retro'!R74</f>
        <v>9.6230587505222575E-3</v>
      </c>
      <c r="Y30" s="26">
        <f ca="1">'SC-Retro'!S74</f>
        <v>7.6402719238278091E-3</v>
      </c>
      <c r="Z30" s="26">
        <f ca="1">'SC-Retro'!T74</f>
        <v>6.0662703976479557E-3</v>
      </c>
      <c r="AA30" s="26">
        <f ca="1">'SC-Retro'!U74</f>
        <v>4.1067240285033229E-5</v>
      </c>
      <c r="AB30" s="26">
        <f ca="1">'SC-Retro'!V74</f>
        <v>1.4557962279226494E-5</v>
      </c>
      <c r="AC30" s="26">
        <f ca="1">'SC-Retro'!W74</f>
        <v>4.9263580552307665E-6</v>
      </c>
      <c r="AD30" s="26">
        <f ca="1">'SC-Retro'!X74</f>
        <v>1.5946682250385389E-6</v>
      </c>
      <c r="AE30" s="26">
        <f ca="1">'SC-Retro'!Y74</f>
        <v>0.55713998143170673</v>
      </c>
      <c r="AF30" s="311">
        <f t="shared" si="2"/>
        <v>11.400184304157397</v>
      </c>
      <c r="AG30" s="311">
        <f t="shared" si="3"/>
        <v>10.212647389659635</v>
      </c>
      <c r="AH30" s="311">
        <f t="shared" si="4"/>
        <v>11.748445338339842</v>
      </c>
      <c r="AI30" s="311">
        <f t="shared" si="5"/>
        <v>10.188887804557041</v>
      </c>
      <c r="AJ30" s="311">
        <f t="shared" si="6"/>
        <v>9.7184151791697744</v>
      </c>
      <c r="AK30" s="311">
        <f t="shared" si="7"/>
        <v>9.4752666777273511</v>
      </c>
      <c r="AL30" s="311">
        <f t="shared" si="8"/>
        <v>8.0192429196200941</v>
      </c>
      <c r="AM30" s="311">
        <f t="shared" si="9"/>
        <v>8.3864596306710713</v>
      </c>
      <c r="AN30" s="311">
        <f t="shared" si="10"/>
        <v>7.8677221563723778</v>
      </c>
      <c r="AO30" s="311">
        <f t="shared" si="11"/>
        <v>9.4988530369207602</v>
      </c>
      <c r="AP30" s="311">
        <f t="shared" si="12"/>
        <v>9.7359533727158816</v>
      </c>
      <c r="AQ30" s="311">
        <f t="shared" si="13"/>
        <v>11.319782881001167</v>
      </c>
      <c r="AR30" s="311"/>
      <c r="AS30" s="311">
        <f t="shared" si="14"/>
        <v>5.7204218342372473</v>
      </c>
      <c r="AT30" s="311">
        <f t="shared" si="15"/>
        <v>4.7915542503970459</v>
      </c>
      <c r="AU30" s="311">
        <f t="shared" si="16"/>
        <v>4.5747593005935805</v>
      </c>
      <c r="AV30" s="311">
        <f t="shared" si="17"/>
        <v>4.7588306087002996</v>
      </c>
      <c r="AW30" s="311">
        <f t="shared" si="18"/>
        <v>4.7554832417125494</v>
      </c>
      <c r="AX30" s="311">
        <f t="shared" si="19"/>
        <v>3.9428320786084941</v>
      </c>
      <c r="AY30" s="311">
        <f t="shared" si="20"/>
        <v>4.2872054751466973</v>
      </c>
      <c r="AZ30" s="311">
        <f t="shared" si="21"/>
        <v>3.3659148267565131</v>
      </c>
      <c r="BA30" s="311">
        <f t="shared" si="22"/>
        <v>4.1469414465177579</v>
      </c>
      <c r="BB30" s="311">
        <f t="shared" si="23"/>
        <v>3.868947131213083</v>
      </c>
      <c r="BC30" s="311">
        <f t="shared" si="24"/>
        <v>5.0667657056691668</v>
      </c>
      <c r="BD30" s="311">
        <f t="shared" si="25"/>
        <v>5.5652266541769624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10"/>
  <dimension ref="A1:H5"/>
  <sheetViews>
    <sheetView zoomScale="75" workbookViewId="0">
      <selection activeCell="A5" sqref="A5"/>
    </sheetView>
  </sheetViews>
  <sheetFormatPr defaultRowHeight="12.75"/>
  <cols>
    <col min="1" max="1" width="34.5703125" style="295" customWidth="1"/>
    <col min="2" max="2" width="22.140625" style="295" customWidth="1"/>
    <col min="3" max="3" width="19" style="295" customWidth="1"/>
    <col min="4" max="4" width="15.7109375" style="295" customWidth="1"/>
    <col min="5" max="5" width="18.85546875" style="295" customWidth="1"/>
    <col min="6" max="6" width="15.28515625" style="295" customWidth="1"/>
    <col min="7" max="7" width="16" style="295" customWidth="1"/>
    <col min="8" max="8" width="15.28515625" style="295" customWidth="1"/>
    <col min="9" max="9" width="13" style="295" customWidth="1"/>
    <col min="10" max="16384" width="9.140625" style="295"/>
  </cols>
  <sheetData>
    <row r="1" spans="1:8">
      <c r="A1" s="293" t="s">
        <v>549</v>
      </c>
      <c r="B1" s="294"/>
      <c r="C1" s="294"/>
      <c r="D1" s="294"/>
      <c r="E1" s="294"/>
      <c r="F1" s="294"/>
      <c r="G1" s="294"/>
      <c r="H1" s="294"/>
    </row>
    <row r="4" spans="1:8">
      <c r="A4" s="295" t="s">
        <v>638</v>
      </c>
    </row>
    <row r="5" spans="1:8">
      <c r="A5" s="329">
        <f>'[3]Savings and Cost'!$F$21</f>
        <v>3.6841444395749776</v>
      </c>
      <c r="B5" s="295" t="s">
        <v>550</v>
      </c>
      <c r="C5" s="295" t="s">
        <v>639</v>
      </c>
    </row>
  </sheetData>
  <pageMargins left="0.75" right="0.75" top="1" bottom="1" header="0.5" footer="0.5"/>
  <pageSetup orientation="portrait" horizontalDpi="200" verticalDpi="200" r:id="rId1"/>
  <headerFooter alignWithMargins="0"/>
</worksheet>
</file>

<file path=xl/worksheets/sheet3.xml><?xml version="1.0" encoding="utf-8"?>
<worksheet xmlns="http://schemas.openxmlformats.org/spreadsheetml/2006/main" xmlns:r="http://schemas.openxmlformats.org/officeDocument/2006/relationships">
  <sheetPr codeName="Sheet1"/>
  <dimension ref="A1:CB151"/>
  <sheetViews>
    <sheetView topLeftCell="B8" workbookViewId="0">
      <selection activeCell="E13" sqref="E13:X16"/>
    </sheetView>
  </sheetViews>
  <sheetFormatPr defaultRowHeight="12.75"/>
  <cols>
    <col min="1" max="1" width="35" style="7" customWidth="1"/>
    <col min="2" max="2" width="29.28515625" style="7" customWidth="1"/>
    <col min="3" max="3" width="19.85546875" style="7" customWidth="1"/>
    <col min="4" max="4" width="21.2851562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40" t="s">
        <v>60</v>
      </c>
      <c r="B1" s="331" t="s">
        <v>146</v>
      </c>
      <c r="C1" s="331"/>
      <c r="D1" s="331"/>
      <c r="E1" s="331"/>
      <c r="F1" s="331"/>
      <c r="G1" s="331"/>
      <c r="H1" s="331"/>
      <c r="I1" s="331"/>
      <c r="J1" s="331"/>
      <c r="K1" s="331"/>
      <c r="L1" s="331"/>
      <c r="M1" s="331"/>
      <c r="N1" s="331"/>
      <c r="O1" s="331"/>
      <c r="P1" s="331"/>
      <c r="Q1" s="331"/>
      <c r="R1" s="331"/>
      <c r="S1" s="331"/>
      <c r="T1" s="331"/>
    </row>
    <row r="2" spans="1:69">
      <c r="A2" s="41" t="s">
        <v>158</v>
      </c>
      <c r="B2" s="331"/>
      <c r="C2" s="331"/>
      <c r="D2" s="331"/>
      <c r="E2" s="331"/>
      <c r="F2" s="331"/>
      <c r="G2" s="331"/>
      <c r="H2" s="331"/>
      <c r="I2" s="331"/>
      <c r="J2" s="331"/>
      <c r="K2" s="331"/>
      <c r="L2" s="331"/>
      <c r="M2" s="331"/>
      <c r="N2" s="331"/>
      <c r="O2" s="331"/>
      <c r="P2" s="331"/>
      <c r="Q2" s="331"/>
      <c r="R2" s="331"/>
      <c r="S2" s="331"/>
      <c r="T2" s="331"/>
    </row>
    <row r="3" spans="1:69">
      <c r="B3" s="331"/>
      <c r="C3" s="331"/>
      <c r="D3" s="331"/>
      <c r="E3" s="331"/>
      <c r="F3" s="331"/>
      <c r="G3" s="331"/>
      <c r="H3" s="331"/>
      <c r="I3" s="331"/>
      <c r="J3" s="331"/>
      <c r="K3" s="331"/>
      <c r="L3" s="331"/>
      <c r="M3" s="331"/>
      <c r="N3" s="331"/>
      <c r="O3" s="331"/>
      <c r="P3" s="331"/>
      <c r="Q3" s="331"/>
      <c r="R3" s="331"/>
      <c r="S3" s="331"/>
      <c r="T3" s="331"/>
    </row>
    <row r="4" spans="1:69">
      <c r="B4" s="331"/>
      <c r="C4" s="331"/>
      <c r="D4" s="331"/>
      <c r="E4" s="331"/>
      <c r="F4" s="331"/>
      <c r="G4" s="331"/>
      <c r="H4" s="331"/>
      <c r="I4" s="331"/>
      <c r="J4" s="331"/>
      <c r="K4" s="331"/>
      <c r="L4" s="331"/>
      <c r="M4" s="331"/>
      <c r="N4" s="331"/>
      <c r="O4" s="331"/>
      <c r="P4" s="331"/>
      <c r="Q4" s="331"/>
      <c r="R4" s="331"/>
      <c r="S4" s="331"/>
      <c r="T4" s="331"/>
    </row>
    <row r="5" spans="1:69">
      <c r="B5" s="331"/>
      <c r="C5" s="331"/>
      <c r="D5" s="331"/>
      <c r="E5" s="331"/>
      <c r="F5" s="331"/>
      <c r="G5" s="331"/>
      <c r="H5" s="331"/>
      <c r="I5" s="331"/>
      <c r="J5" s="331"/>
      <c r="K5" s="331"/>
      <c r="L5" s="331"/>
      <c r="M5" s="331"/>
      <c r="N5" s="331"/>
      <c r="O5" s="331"/>
      <c r="P5" s="331"/>
      <c r="Q5" s="331"/>
      <c r="R5" s="331"/>
      <c r="S5" s="331"/>
      <c r="T5" s="331"/>
    </row>
    <row r="6" spans="1:69">
      <c r="B6" s="331"/>
      <c r="C6" s="331"/>
      <c r="D6" s="331"/>
      <c r="E6" s="331"/>
      <c r="F6" s="331"/>
      <c r="G6" s="331"/>
      <c r="H6" s="331"/>
      <c r="I6" s="331"/>
      <c r="J6" s="331"/>
      <c r="K6" s="331"/>
      <c r="L6" s="331"/>
      <c r="M6" s="331"/>
      <c r="N6" s="331"/>
      <c r="O6" s="331"/>
      <c r="P6" s="331"/>
      <c r="Q6" s="331"/>
      <c r="R6" s="331"/>
      <c r="S6" s="331"/>
      <c r="T6" s="331"/>
    </row>
    <row r="7" spans="1:69">
      <c r="A7" s="312"/>
      <c r="B7" s="312" t="s">
        <v>47</v>
      </c>
      <c r="C7" s="51" t="s">
        <v>59</v>
      </c>
      <c r="D7" s="51" t="s">
        <v>59</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312" t="s">
        <v>604</v>
      </c>
      <c r="B8" s="312" t="s">
        <v>63</v>
      </c>
      <c r="C8" s="51" t="str">
        <f>[2]MLIST!$B$17</f>
        <v>Showerheads</v>
      </c>
      <c r="D8" s="51"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312" t="str">
        <f>INDEX([2]ACHIEV!$A$19:$B$100,MATCH(CONCATENATE($C$8," - ",$C$7),[2]ACHIEV!$B$19:$B$100,0),1)</f>
        <v>Water Heating</v>
      </c>
      <c r="B9" s="313" t="s">
        <v>64</v>
      </c>
      <c r="C9" s="51">
        <f>[2]FILES!$H$4</f>
        <v>2035</v>
      </c>
      <c r="D9" s="51"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312"/>
      <c r="B10" s="312" t="s">
        <v>647</v>
      </c>
      <c r="C10" s="330">
        <f ca="1">MIN(SUM(E59:X59),Y59)</f>
        <v>21.407960149926218</v>
      </c>
      <c r="D10" s="52"/>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53" t="str">
        <f>CONCATENATE("# HOMES AVAILABLE FOR MEASURE -",$C$8)</f>
        <v># HOMES AVAILABLE FOR MEASURE -Showerheads</v>
      </c>
      <c r="C11" s="7" t="s">
        <v>147</v>
      </c>
      <c r="E11" s="56">
        <v>2016</v>
      </c>
      <c r="F11" s="57">
        <v>2017</v>
      </c>
      <c r="G11" s="57">
        <v>2018</v>
      </c>
      <c r="H11" s="57">
        <v>2019</v>
      </c>
      <c r="I11" s="57">
        <v>2020</v>
      </c>
      <c r="J11" s="57">
        <v>2021</v>
      </c>
      <c r="K11" s="57">
        <v>2022</v>
      </c>
      <c r="L11" s="57">
        <v>2023</v>
      </c>
      <c r="M11" s="57">
        <v>2024</v>
      </c>
      <c r="N11" s="57">
        <v>2025</v>
      </c>
      <c r="O11" s="57">
        <v>2026</v>
      </c>
      <c r="P11" s="57">
        <v>2027</v>
      </c>
      <c r="Q11" s="57">
        <v>2028</v>
      </c>
      <c r="R11" s="57">
        <v>2029</v>
      </c>
      <c r="S11" s="57">
        <v>2030</v>
      </c>
      <c r="T11" s="57">
        <v>2031</v>
      </c>
      <c r="U11" s="57">
        <v>2032</v>
      </c>
      <c r="V11" s="57">
        <v>2033</v>
      </c>
      <c r="W11" s="57">
        <v>2034</v>
      </c>
      <c r="X11" s="57">
        <v>2035</v>
      </c>
      <c r="Y11" s="58"/>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59" t="str">
        <f>CONCATENATE("HOMES_",E11)</f>
        <v>HOMES_2016</v>
      </c>
      <c r="F12" s="60" t="str">
        <f t="shared" ref="F12:X12" si="0">CONCATENATE("HOMES_",F11)</f>
        <v>HOMES_2017</v>
      </c>
      <c r="G12" s="60" t="str">
        <f t="shared" si="0"/>
        <v>HOMES_2018</v>
      </c>
      <c r="H12" s="60" t="str">
        <f t="shared" si="0"/>
        <v>HOMES_2019</v>
      </c>
      <c r="I12" s="60" t="str">
        <f t="shared" si="0"/>
        <v>HOMES_2020</v>
      </c>
      <c r="J12" s="60" t="str">
        <f t="shared" si="0"/>
        <v>HOMES_2021</v>
      </c>
      <c r="K12" s="60" t="str">
        <f t="shared" si="0"/>
        <v>HOMES_2022</v>
      </c>
      <c r="L12" s="60" t="str">
        <f t="shared" si="0"/>
        <v>HOMES_2023</v>
      </c>
      <c r="M12" s="60" t="str">
        <f t="shared" si="0"/>
        <v>HOMES_2024</v>
      </c>
      <c r="N12" s="60" t="str">
        <f t="shared" si="0"/>
        <v>HOMES_2025</v>
      </c>
      <c r="O12" s="60" t="str">
        <f t="shared" si="0"/>
        <v>HOMES_2026</v>
      </c>
      <c r="P12" s="60" t="str">
        <f t="shared" si="0"/>
        <v>HOMES_2027</v>
      </c>
      <c r="Q12" s="60" t="str">
        <f t="shared" si="0"/>
        <v>HOMES_2028</v>
      </c>
      <c r="R12" s="60" t="str">
        <f t="shared" si="0"/>
        <v>HOMES_2029</v>
      </c>
      <c r="S12" s="60" t="str">
        <f t="shared" si="0"/>
        <v>HOMES_2030</v>
      </c>
      <c r="T12" s="60" t="str">
        <f t="shared" si="0"/>
        <v>HOMES_2031</v>
      </c>
      <c r="U12" s="60" t="str">
        <f t="shared" si="0"/>
        <v>HOMES_2032</v>
      </c>
      <c r="V12" s="60" t="str">
        <f t="shared" si="0"/>
        <v>HOMES_2033</v>
      </c>
      <c r="W12" s="60" t="str">
        <f t="shared" si="0"/>
        <v>HOMES_2034</v>
      </c>
      <c r="X12" s="60" t="str">
        <f t="shared" si="0"/>
        <v>HOMES_2035</v>
      </c>
      <c r="Y12" s="61"/>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59</v>
      </c>
      <c r="C13" s="7" t="s">
        <v>48</v>
      </c>
      <c r="E13" s="32">
        <f ca="1">INDEX([1]!tbl_Forecast,MATCH($D$8&amp;$C13&amp;$D$7,[1]!rng_ForecastRowLookup,0),MATCH(E$11,[1]!rng_ForecastColumnLookup,0))</f>
        <v>62685.758999999998</v>
      </c>
      <c r="F13" s="32">
        <f ca="1">INDEX([1]!tbl_Forecast,MATCH($D$8&amp;$C13&amp;$D$7,[1]!rng_ForecastRowLookup,0),MATCH(F$11,[1]!rng_ForecastColumnLookup,0))</f>
        <v>59961.781000000003</v>
      </c>
      <c r="G13" s="32">
        <f ca="1">INDEX([1]!tbl_Forecast,MATCH($D$8&amp;$C13&amp;$D$7,[1]!rng_ForecastRowLookup,0),MATCH(G$11,[1]!rng_ForecastColumnLookup,0))</f>
        <v>56834.012000000002</v>
      </c>
      <c r="H13" s="32">
        <f ca="1">INDEX([1]!tbl_Forecast,MATCH($D$8&amp;$C13&amp;$D$7,[1]!rng_ForecastRowLookup,0),MATCH(H$11,[1]!rng_ForecastColumnLookup,0))</f>
        <v>54985.192999999999</v>
      </c>
      <c r="I13" s="32">
        <f ca="1">INDEX([1]!tbl_Forecast,MATCH($D$8&amp;$C13&amp;$D$7,[1]!rng_ForecastRowLookup,0),MATCH(I$11,[1]!rng_ForecastColumnLookup,0))</f>
        <v>53507.474000000002</v>
      </c>
      <c r="J13" s="32">
        <f ca="1">INDEX([1]!tbl_Forecast,MATCH($D$8&amp;$C13&amp;$D$7,[1]!rng_ForecastRowLookup,0),MATCH(J$11,[1]!rng_ForecastColumnLookup,0))</f>
        <v>50982.05</v>
      </c>
      <c r="K13" s="32">
        <f ca="1">INDEX([1]!tbl_Forecast,MATCH($D$8&amp;$C13&amp;$D$7,[1]!rng_ForecastRowLookup,0),MATCH(K$11,[1]!rng_ForecastColumnLookup,0))</f>
        <v>49561.669000000002</v>
      </c>
      <c r="L13" s="32">
        <f ca="1">INDEX([1]!tbl_Forecast,MATCH($D$8&amp;$C13&amp;$D$7,[1]!rng_ForecastRowLookup,0),MATCH(L$11,[1]!rng_ForecastColumnLookup,0))</f>
        <v>49324.517999999996</v>
      </c>
      <c r="M13" s="32">
        <f ca="1">INDEX([1]!tbl_Forecast,MATCH($D$8&amp;$C13&amp;$D$7,[1]!rng_ForecastRowLookup,0),MATCH(M$11,[1]!rng_ForecastColumnLookup,0))</f>
        <v>48815.77</v>
      </c>
      <c r="N13" s="32">
        <f ca="1">INDEX([1]!tbl_Forecast,MATCH($D$8&amp;$C13&amp;$D$7,[1]!rng_ForecastRowLookup,0),MATCH(N$11,[1]!rng_ForecastColumnLookup,0))</f>
        <v>49683.252</v>
      </c>
      <c r="O13" s="32">
        <f ca="1">INDEX([1]!tbl_Forecast,MATCH($D$8&amp;$C13&amp;$D$7,[1]!rng_ForecastRowLookup,0),MATCH(O$11,[1]!rng_ForecastColumnLookup,0))</f>
        <v>50030.137000000002</v>
      </c>
      <c r="P13" s="32">
        <f ca="1">INDEX([1]!tbl_Forecast,MATCH($D$8&amp;$C13&amp;$D$7,[1]!rng_ForecastRowLookup,0),MATCH(P$11,[1]!rng_ForecastColumnLookup,0))</f>
        <v>49387.762999999999</v>
      </c>
      <c r="Q13" s="32">
        <f ca="1">INDEX([1]!tbl_Forecast,MATCH($D$8&amp;$C13&amp;$D$7,[1]!rng_ForecastRowLookup,0),MATCH(Q$11,[1]!rng_ForecastColumnLookup,0))</f>
        <v>48079.345999999998</v>
      </c>
      <c r="R13" s="32">
        <f ca="1">INDEX([1]!tbl_Forecast,MATCH($D$8&amp;$C13&amp;$D$7,[1]!rng_ForecastRowLookup,0),MATCH(R$11,[1]!rng_ForecastColumnLookup,0))</f>
        <v>48129.050999999999</v>
      </c>
      <c r="S13" s="32">
        <f ca="1">INDEX([1]!tbl_Forecast,MATCH($D$8&amp;$C13&amp;$D$7,[1]!rng_ForecastRowLookup,0),MATCH(S$11,[1]!rng_ForecastColumnLookup,0))</f>
        <v>48690.569000000003</v>
      </c>
      <c r="T13" s="32">
        <f ca="1">INDEX([1]!tbl_Forecast,MATCH($D$8&amp;$C13&amp;$D$7,[1]!rng_ForecastRowLookup,0),MATCH(T$11,[1]!rng_ForecastColumnLookup,0))</f>
        <v>48482.864000000001</v>
      </c>
      <c r="U13" s="32">
        <f ca="1">INDEX([1]!tbl_Forecast,MATCH($D$8&amp;$C13&amp;$D$7,[1]!rng_ForecastRowLookup,0),MATCH(U$11,[1]!rng_ForecastColumnLookup,0))</f>
        <v>46879.000999999997</v>
      </c>
      <c r="V13" s="32">
        <f ca="1">INDEX([1]!tbl_Forecast,MATCH($D$8&amp;$C13&amp;$D$7,[1]!rng_ForecastRowLookup,0),MATCH(V$11,[1]!rng_ForecastColumnLookup,0))</f>
        <v>46798.777999999998</v>
      </c>
      <c r="W13" s="32">
        <f ca="1">INDEX([1]!tbl_Forecast,MATCH($D$8&amp;$C13&amp;$D$7,[1]!rng_ForecastRowLookup,0),MATCH(W$11,[1]!rng_ForecastColumnLookup,0))</f>
        <v>46917.627</v>
      </c>
      <c r="X13" s="32">
        <f ca="1">INDEX([1]!tbl_Forecast,MATCH($D$8&amp;$C13&amp;$D$7,[1]!rng_ForecastRowLookup,0),MATCH(X$11,[1]!rng_ForecastColumnLookup,0))</f>
        <v>47236.144999999997</v>
      </c>
      <c r="Y13" s="32"/>
      <c r="AA13" s="32">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59</v>
      </c>
      <c r="C14" s="7" t="s">
        <v>49</v>
      </c>
      <c r="E14" s="32">
        <f ca="1">INDEX([1]!tbl_Forecast,MATCH($D$8&amp;$C14&amp;$D$7,[1]!rng_ForecastRowLookup,0),MATCH(E$11,[1]!rng_ForecastColumnLookup,0))</f>
        <v>23280.347100904564</v>
      </c>
      <c r="F14" s="32">
        <f ca="1">INDEX([1]!tbl_Forecast,MATCH($D$8&amp;$C14&amp;$D$7,[1]!rng_ForecastRowLookup,0),MATCH(F$11,[1]!rng_ForecastColumnLookup,0))</f>
        <v>23017.418106038647</v>
      </c>
      <c r="G14" s="32">
        <f ca="1">INDEX([1]!tbl_Forecast,MATCH($D$8&amp;$C14&amp;$D$7,[1]!rng_ForecastRowLookup,0),MATCH(G$11,[1]!rng_ForecastColumnLookup,0))</f>
        <v>22811.60852767331</v>
      </c>
      <c r="H14" s="32">
        <f ca="1">INDEX([1]!tbl_Forecast,MATCH($D$8&amp;$C14&amp;$D$7,[1]!rng_ForecastRowLookup,0),MATCH(H$11,[1]!rng_ForecastColumnLookup,0))</f>
        <v>22085.916378202593</v>
      </c>
      <c r="I14" s="32">
        <f ca="1">INDEX([1]!tbl_Forecast,MATCH($D$8&amp;$C14&amp;$D$7,[1]!rng_ForecastRowLookup,0),MATCH(I$11,[1]!rng_ForecastColumnLookup,0))</f>
        <v>20817.853908138593</v>
      </c>
      <c r="J14" s="32">
        <f ca="1">INDEX([1]!tbl_Forecast,MATCH($D$8&amp;$C14&amp;$D$7,[1]!rng_ForecastRowLookup,0),MATCH(J$11,[1]!rng_ForecastColumnLookup,0))</f>
        <v>20070.279329962508</v>
      </c>
      <c r="K14" s="32">
        <f ca="1">INDEX([1]!tbl_Forecast,MATCH($D$8&amp;$C14&amp;$D$7,[1]!rng_ForecastRowLookup,0),MATCH(K$11,[1]!rng_ForecastColumnLookup,0))</f>
        <v>19887.831284331631</v>
      </c>
      <c r="L14" s="32">
        <f ca="1">INDEX([1]!tbl_Forecast,MATCH($D$8&amp;$C14&amp;$D$7,[1]!rng_ForecastRowLookup,0),MATCH(L$11,[1]!rng_ForecastColumnLookup,0))</f>
        <v>20257.583209811291</v>
      </c>
      <c r="M14" s="32">
        <f ca="1">INDEX([1]!tbl_Forecast,MATCH($D$8&amp;$C14&amp;$D$7,[1]!rng_ForecastRowLookup,0),MATCH(M$11,[1]!rng_ForecastColumnLookup,0))</f>
        <v>20750.368029493613</v>
      </c>
      <c r="N14" s="32">
        <f ca="1">INDEX([1]!tbl_Forecast,MATCH($D$8&amp;$C14&amp;$D$7,[1]!rng_ForecastRowLookup,0),MATCH(N$11,[1]!rng_ForecastColumnLookup,0))</f>
        <v>21314.334279744231</v>
      </c>
      <c r="O14" s="32">
        <f ca="1">INDEX([1]!tbl_Forecast,MATCH($D$8&amp;$C14&amp;$D$7,[1]!rng_ForecastRowLookup,0),MATCH(O$11,[1]!rng_ForecastColumnLookup,0))</f>
        <v>21403.286239774712</v>
      </c>
      <c r="P14" s="32">
        <f ca="1">INDEX([1]!tbl_Forecast,MATCH($D$8&amp;$C14&amp;$D$7,[1]!rng_ForecastRowLookup,0),MATCH(P$11,[1]!rng_ForecastColumnLookup,0))</f>
        <v>21409.137516518917</v>
      </c>
      <c r="Q14" s="32">
        <f ca="1">INDEX([1]!tbl_Forecast,MATCH($D$8&amp;$C14&amp;$D$7,[1]!rng_ForecastRowLookup,0),MATCH(Q$11,[1]!rng_ForecastColumnLookup,0))</f>
        <v>21443.358292282628</v>
      </c>
      <c r="R14" s="32">
        <f ca="1">INDEX([1]!tbl_Forecast,MATCH($D$8&amp;$C14&amp;$D$7,[1]!rng_ForecastRowLookup,0),MATCH(R$11,[1]!rng_ForecastColumnLookup,0))</f>
        <v>21209.865626522758</v>
      </c>
      <c r="S14" s="32">
        <f ca="1">INDEX([1]!tbl_Forecast,MATCH($D$8&amp;$C14&amp;$D$7,[1]!rng_ForecastRowLookup,0),MATCH(S$11,[1]!rng_ForecastColumnLookup,0))</f>
        <v>20954.17798283829</v>
      </c>
      <c r="T14" s="32">
        <f ca="1">INDEX([1]!tbl_Forecast,MATCH($D$8&amp;$C14&amp;$D$7,[1]!rng_ForecastRowLookup,0),MATCH(T$11,[1]!rng_ForecastColumnLookup,0))</f>
        <v>20525.44023202754</v>
      </c>
      <c r="U14" s="32">
        <f ca="1">INDEX([1]!tbl_Forecast,MATCH($D$8&amp;$C14&amp;$D$7,[1]!rng_ForecastRowLookup,0),MATCH(U$11,[1]!rng_ForecastColumnLookup,0))</f>
        <v>20175.505597554071</v>
      </c>
      <c r="V14" s="32">
        <f ca="1">INDEX([1]!tbl_Forecast,MATCH($D$8&amp;$C14&amp;$D$7,[1]!rng_ForecastRowLookup,0),MATCH(V$11,[1]!rng_ForecastColumnLookup,0))</f>
        <v>19919.723927484571</v>
      </c>
      <c r="W14" s="32">
        <f ca="1">INDEX([1]!tbl_Forecast,MATCH($D$8&amp;$C14&amp;$D$7,[1]!rng_ForecastRowLookup,0),MATCH(W$11,[1]!rng_ForecastColumnLookup,0))</f>
        <v>19536.194066416414</v>
      </c>
      <c r="X14" s="32">
        <f ca="1">INDEX([1]!tbl_Forecast,MATCH($D$8&amp;$C14&amp;$D$7,[1]!rng_ForecastRowLookup,0),MATCH(X$11,[1]!rng_ForecastColumnLookup,0))</f>
        <v>19462.287131015248</v>
      </c>
      <c r="Y14" s="32"/>
      <c r="AA14" s="32">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59</v>
      </c>
      <c r="C15" s="7" t="s">
        <v>50</v>
      </c>
      <c r="E15" s="32">
        <f ca="1">INDEX([1]!tbl_Forecast,MATCH($D$8&amp;$C15&amp;$D$7,[1]!rng_ForecastRowLookup,0),MATCH(E$11,[1]!rng_ForecastColumnLookup,0))</f>
        <v>5226.2387411561367</v>
      </c>
      <c r="F15" s="32">
        <f ca="1">INDEX([1]!tbl_Forecast,MATCH($D$8&amp;$C15&amp;$D$7,[1]!rng_ForecastRowLookup,0),MATCH(F$11,[1]!rng_ForecastColumnLookup,0))</f>
        <v>5239.95312759432</v>
      </c>
      <c r="G15" s="32">
        <f ca="1">INDEX([1]!tbl_Forecast,MATCH($D$8&amp;$C15&amp;$D$7,[1]!rng_ForecastRowLookup,0),MATCH(G$11,[1]!rng_ForecastColumnLookup,0))</f>
        <v>5271.2612760989568</v>
      </c>
      <c r="H15" s="32">
        <f ca="1">INDEX([1]!tbl_Forecast,MATCH($D$8&amp;$C15&amp;$D$7,[1]!rng_ForecastRowLookup,0),MATCH(H$11,[1]!rng_ForecastColumnLookup,0))</f>
        <v>4985.883552972361</v>
      </c>
      <c r="I15" s="32">
        <f ca="1">INDEX([1]!tbl_Forecast,MATCH($D$8&amp;$C15&amp;$D$7,[1]!rng_ForecastRowLookup,0),MATCH(I$11,[1]!rng_ForecastColumnLookup,0))</f>
        <v>4608.5912035798974</v>
      </c>
      <c r="J15" s="32">
        <f ca="1">INDEX([1]!tbl_Forecast,MATCH($D$8&amp;$C15&amp;$D$7,[1]!rng_ForecastRowLookup,0),MATCH(J$11,[1]!rng_ForecastColumnLookup,0))</f>
        <v>4509.6375960361838</v>
      </c>
      <c r="K15" s="32">
        <f ca="1">INDEX([1]!tbl_Forecast,MATCH($D$8&amp;$C15&amp;$D$7,[1]!rng_ForecastRowLookup,0),MATCH(K$11,[1]!rng_ForecastColumnLookup,0))</f>
        <v>4481.760351096189</v>
      </c>
      <c r="L15" s="32">
        <f ca="1">INDEX([1]!tbl_Forecast,MATCH($D$8&amp;$C15&amp;$D$7,[1]!rng_ForecastRowLookup,0),MATCH(L$11,[1]!rng_ForecastColumnLookup,0))</f>
        <v>4621.8312800578688</v>
      </c>
      <c r="M15" s="32">
        <f ca="1">INDEX([1]!tbl_Forecast,MATCH($D$8&amp;$C15&amp;$D$7,[1]!rng_ForecastRowLookup,0),MATCH(M$11,[1]!rng_ForecastColumnLookup,0))</f>
        <v>4700.9782942419988</v>
      </c>
      <c r="N15" s="32">
        <f ca="1">INDEX([1]!tbl_Forecast,MATCH($D$8&amp;$C15&amp;$D$7,[1]!rng_ForecastRowLookup,0),MATCH(N$11,[1]!rng_ForecastColumnLookup,0))</f>
        <v>4828.2391631488581</v>
      </c>
      <c r="O15" s="32">
        <f ca="1">INDEX([1]!tbl_Forecast,MATCH($D$8&amp;$C15&amp;$D$7,[1]!rng_ForecastRowLookup,0),MATCH(O$11,[1]!rng_ForecastColumnLookup,0))</f>
        <v>4790.0249139778334</v>
      </c>
      <c r="P15" s="32">
        <f ca="1">INDEX([1]!tbl_Forecast,MATCH($D$8&amp;$C15&amp;$D$7,[1]!rng_ForecastRowLookup,0),MATCH(P$11,[1]!rng_ForecastColumnLookup,0))</f>
        <v>4782.0649962402858</v>
      </c>
      <c r="Q15" s="32">
        <f ca="1">INDEX([1]!tbl_Forecast,MATCH($D$8&amp;$C15&amp;$D$7,[1]!rng_ForecastRowLookup,0),MATCH(Q$11,[1]!rng_ForecastColumnLookup,0))</f>
        <v>4748.3908346265653</v>
      </c>
      <c r="R15" s="32">
        <f ca="1">INDEX([1]!tbl_Forecast,MATCH($D$8&amp;$C15&amp;$D$7,[1]!rng_ForecastRowLookup,0),MATCH(R$11,[1]!rng_ForecastColumnLookup,0))</f>
        <v>4733.4823682495089</v>
      </c>
      <c r="S15" s="32">
        <f ca="1">INDEX([1]!tbl_Forecast,MATCH($D$8&amp;$C15&amp;$D$7,[1]!rng_ForecastRowLookup,0),MATCH(S$11,[1]!rng_ForecastColumnLookup,0))</f>
        <v>4698.697177079107</v>
      </c>
      <c r="T15" s="32">
        <f ca="1">INDEX([1]!tbl_Forecast,MATCH($D$8&amp;$C15&amp;$D$7,[1]!rng_ForecastRowLookup,0),MATCH(T$11,[1]!rng_ForecastColumnLookup,0))</f>
        <v>4599.2987885998937</v>
      </c>
      <c r="U15" s="32">
        <f ca="1">INDEX([1]!tbl_Forecast,MATCH($D$8&amp;$C15&amp;$D$7,[1]!rng_ForecastRowLookup,0),MATCH(U$11,[1]!rng_ForecastColumnLookup,0))</f>
        <v>4526.3104216428001</v>
      </c>
      <c r="V15" s="32">
        <f ca="1">INDEX([1]!tbl_Forecast,MATCH($D$8&amp;$C15&amp;$D$7,[1]!rng_ForecastRowLookup,0),MATCH(V$11,[1]!rng_ForecastColumnLookup,0))</f>
        <v>4422.0600452822764</v>
      </c>
      <c r="W15" s="32">
        <f ca="1">INDEX([1]!tbl_Forecast,MATCH($D$8&amp;$C15&amp;$D$7,[1]!rng_ForecastRowLookup,0),MATCH(W$11,[1]!rng_ForecastColumnLookup,0))</f>
        <v>4405.182362066379</v>
      </c>
      <c r="X15" s="32">
        <f ca="1">INDEX([1]!tbl_Forecast,MATCH($D$8&amp;$C15&amp;$D$7,[1]!rng_ForecastRowLookup,0),MATCH(X$11,[1]!rng_ForecastColumnLookup,0))</f>
        <v>4385.1136986120664</v>
      </c>
      <c r="Y15" s="32"/>
      <c r="AA15" s="32">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59</v>
      </c>
      <c r="C16" s="7" t="s">
        <v>51</v>
      </c>
      <c r="E16" s="32">
        <f ca="1">INDEX([1]!tbl_Forecast,MATCH($D$8&amp;$C16&amp;$D$7,[1]!rng_ForecastRowLookup,0),MATCH(E$11,[1]!rng_ForecastColumnLookup,0))</f>
        <v>1869.5754050925925</v>
      </c>
      <c r="F16" s="32">
        <f ca="1">INDEX([1]!tbl_Forecast,MATCH($D$8&amp;$C16&amp;$D$7,[1]!rng_ForecastRowLookup,0),MATCH(F$11,[1]!rng_ForecastColumnLookup,0))</f>
        <v>1881.796305941358</v>
      </c>
      <c r="G16" s="32">
        <f ca="1">INDEX([1]!tbl_Forecast,MATCH($D$8&amp;$C16&amp;$D$7,[1]!rng_ForecastRowLookup,0),MATCH(G$11,[1]!rng_ForecastColumnLookup,0))</f>
        <v>1949.1340235982509</v>
      </c>
      <c r="H16" s="32">
        <f ca="1">INDEX([1]!tbl_Forecast,MATCH($D$8&amp;$C16&amp;$D$7,[1]!rng_ForecastRowLookup,0),MATCH(H$11,[1]!rng_ForecastColumnLookup,0))</f>
        <v>2021.1963608646258</v>
      </c>
      <c r="I16" s="32">
        <f ca="1">INDEX([1]!tbl_Forecast,MATCH($D$8&amp;$C16&amp;$D$7,[1]!rng_ForecastRowLookup,0),MATCH(I$11,[1]!rng_ForecastColumnLookup,0))</f>
        <v>1959.5061710087307</v>
      </c>
      <c r="J16" s="32">
        <f ca="1">INDEX([1]!tbl_Forecast,MATCH($D$8&amp;$C16&amp;$D$7,[1]!rng_ForecastRowLookup,0),MATCH(J$11,[1]!rng_ForecastColumnLookup,0))</f>
        <v>1928.5764356212967</v>
      </c>
      <c r="K16" s="32">
        <f ca="1">INDEX([1]!tbl_Forecast,MATCH($D$8&amp;$C16&amp;$D$7,[1]!rng_ForecastRowLookup,0),MATCH(K$11,[1]!rng_ForecastColumnLookup,0))</f>
        <v>1934.9641170211423</v>
      </c>
      <c r="L16" s="32">
        <f ca="1">INDEX([1]!tbl_Forecast,MATCH($D$8&amp;$C16&amp;$D$7,[1]!rng_ForecastRowLookup,0),MATCH(L$11,[1]!rng_ForecastColumnLookup,0))</f>
        <v>1945.862235675901</v>
      </c>
      <c r="M16" s="32">
        <f ca="1">INDEX([1]!tbl_Forecast,MATCH($D$8&amp;$C16&amp;$D$7,[1]!rng_ForecastRowLookup,0),MATCH(M$11,[1]!rng_ForecastColumnLookup,0))</f>
        <v>1956.539890631658</v>
      </c>
      <c r="N16" s="32">
        <f ca="1">INDEX([1]!tbl_Forecast,MATCH($D$8&amp;$C16&amp;$D$7,[1]!rng_ForecastRowLookup,0),MATCH(N$11,[1]!rng_ForecastColumnLookup,0))</f>
        <v>1957.7742018038925</v>
      </c>
      <c r="O16" s="32">
        <f ca="1">INDEX([1]!tbl_Forecast,MATCH($D$8&amp;$C16&amp;$D$7,[1]!rng_ForecastRowLookup,0),MATCH(O$11,[1]!rng_ForecastColumnLookup,0))</f>
        <v>1947.2038419604366</v>
      </c>
      <c r="P16" s="32">
        <f ca="1">INDEX([1]!tbl_Forecast,MATCH($D$8&amp;$C16&amp;$D$7,[1]!rng_ForecastRowLookup,0),MATCH(P$11,[1]!rng_ForecastColumnLookup,0))</f>
        <v>1945.153453785721</v>
      </c>
      <c r="Q16" s="32">
        <f ca="1">INDEX([1]!tbl_Forecast,MATCH($D$8&amp;$C16&amp;$D$7,[1]!rng_ForecastRowLookup,0),MATCH(Q$11,[1]!rng_ForecastColumnLookup,0))</f>
        <v>1947.9162901464586</v>
      </c>
      <c r="R16" s="32">
        <f ca="1">INDEX([1]!tbl_Forecast,MATCH($D$8&amp;$C16&amp;$D$7,[1]!rng_ForecastRowLookup,0),MATCH(R$11,[1]!rng_ForecastColumnLookup,0))</f>
        <v>1950.0749856673444</v>
      </c>
      <c r="S16" s="32">
        <f ca="1">INDEX([1]!tbl_Forecast,MATCH($D$8&amp;$C16&amp;$D$7,[1]!rng_ForecastRowLookup,0),MATCH(S$11,[1]!rng_ForecastColumnLookup,0))</f>
        <v>1950.7771106659191</v>
      </c>
      <c r="T16" s="32">
        <f ca="1">INDEX([1]!tbl_Forecast,MATCH($D$8&amp;$C16&amp;$D$7,[1]!rng_ForecastRowLookup,0),MATCH(T$11,[1]!rng_ForecastColumnLookup,0))</f>
        <v>1949.8166473382953</v>
      </c>
      <c r="U16" s="32">
        <f ca="1">INDEX([1]!tbl_Forecast,MATCH($D$8&amp;$C16&amp;$D$7,[1]!rng_ForecastRowLookup,0),MATCH(U$11,[1]!rng_ForecastColumnLookup,0))</f>
        <v>1948.4903882606959</v>
      </c>
      <c r="V16" s="32">
        <f ca="1">INDEX([1]!tbl_Forecast,MATCH($D$8&amp;$C16&amp;$D$7,[1]!rng_ForecastRowLookup,0),MATCH(V$11,[1]!rng_ForecastColumnLookup,0))</f>
        <v>1948.7048126440727</v>
      </c>
      <c r="W16" s="32">
        <f ca="1">INDEX([1]!tbl_Forecast,MATCH($D$8&amp;$C16&amp;$D$7,[1]!rng_ForecastRowLookup,0),MATCH(W$11,[1]!rng_ForecastColumnLookup,0))</f>
        <v>1949.296705787131</v>
      </c>
      <c r="X16" s="32">
        <f ca="1">INDEX([1]!tbl_Forecast,MATCH($D$8&amp;$C16&amp;$D$7,[1]!rng_ForecastRowLookup,0),MATCH(X$11,[1]!rng_ForecastColumnLookup,0))</f>
        <v>1949.5267750605763</v>
      </c>
      <c r="Y16" s="32"/>
      <c r="AA16" s="32">
        <f t="shared" ca="1" si="1"/>
        <v>38891.88615857609</v>
      </c>
    </row>
    <row r="17" spans="1:27">
      <c r="E17" s="32"/>
      <c r="F17" s="32"/>
      <c r="G17" s="32"/>
      <c r="H17" s="32"/>
      <c r="I17" s="32"/>
      <c r="J17" s="32"/>
      <c r="K17" s="32"/>
      <c r="L17" s="32"/>
      <c r="M17" s="32"/>
      <c r="N17" s="32"/>
      <c r="O17" s="32"/>
      <c r="P17" s="32"/>
      <c r="Q17" s="32"/>
      <c r="R17" s="32"/>
      <c r="S17" s="32"/>
      <c r="T17" s="32"/>
      <c r="U17" s="32"/>
      <c r="V17" s="32"/>
      <c r="W17" s="32"/>
      <c r="X17" s="32"/>
      <c r="Y17" s="32"/>
    </row>
    <row r="18" spans="1:27">
      <c r="B18" s="7" t="s">
        <v>325</v>
      </c>
      <c r="C18" s="7" t="s">
        <v>66</v>
      </c>
      <c r="E18" s="32">
        <f ca="1">SUM(E13:E16)</f>
        <v>93061.920247153292</v>
      </c>
      <c r="F18" s="32">
        <f t="shared" ref="F18:X18" ca="1" si="2">SUM(F13:F16)</f>
        <v>90100.948539574325</v>
      </c>
      <c r="G18" s="32">
        <f t="shared" ca="1" si="2"/>
        <v>86866.015827370516</v>
      </c>
      <c r="H18" s="32">
        <f t="shared" ca="1" si="2"/>
        <v>84078.189292039577</v>
      </c>
      <c r="I18" s="32">
        <f t="shared" ca="1" si="2"/>
        <v>80893.425282727228</v>
      </c>
      <c r="J18" s="32">
        <f t="shared" ca="1" si="2"/>
        <v>77490.543361619988</v>
      </c>
      <c r="K18" s="32">
        <f t="shared" ca="1" si="2"/>
        <v>75866.224752448965</v>
      </c>
      <c r="L18" s="32">
        <f t="shared" ca="1" si="2"/>
        <v>76149.794725545056</v>
      </c>
      <c r="M18" s="32">
        <f t="shared" ca="1" si="2"/>
        <v>76223.656214367264</v>
      </c>
      <c r="N18" s="32">
        <f t="shared" ca="1" si="2"/>
        <v>77783.59964469698</v>
      </c>
      <c r="O18" s="32">
        <f t="shared" ca="1" si="2"/>
        <v>78170.651995712979</v>
      </c>
      <c r="P18" s="32">
        <f t="shared" ca="1" si="2"/>
        <v>77524.11896654492</v>
      </c>
      <c r="Q18" s="32">
        <f t="shared" ca="1" si="2"/>
        <v>76219.011417055648</v>
      </c>
      <c r="R18" s="32">
        <f t="shared" ca="1" si="2"/>
        <v>76022.473980439609</v>
      </c>
      <c r="S18" s="32">
        <f t="shared" ca="1" si="2"/>
        <v>76294.221270583323</v>
      </c>
      <c r="T18" s="32">
        <f t="shared" ca="1" si="2"/>
        <v>75557.419667965733</v>
      </c>
      <c r="U18" s="32">
        <f t="shared" ca="1" si="2"/>
        <v>73529.307407457556</v>
      </c>
      <c r="V18" s="32">
        <f t="shared" ca="1" si="2"/>
        <v>73089.266785410931</v>
      </c>
      <c r="W18" s="32">
        <f t="shared" ca="1" si="2"/>
        <v>72808.300134269928</v>
      </c>
      <c r="X18" s="32">
        <f t="shared" ca="1" si="2"/>
        <v>73033.072604687884</v>
      </c>
      <c r="Y18" s="32"/>
      <c r="AA18" s="32">
        <f ca="1">SUM(E18:Y18)</f>
        <v>1570762.1621176719</v>
      </c>
    </row>
    <row r="19" spans="1:27">
      <c r="E19" s="32"/>
      <c r="F19" s="32"/>
      <c r="G19" s="32"/>
      <c r="H19" s="32"/>
      <c r="I19" s="32"/>
      <c r="J19" s="32"/>
      <c r="K19" s="32"/>
      <c r="L19" s="32"/>
      <c r="M19" s="32"/>
      <c r="N19" s="32"/>
      <c r="O19" s="32"/>
      <c r="P19" s="32"/>
      <c r="Q19" s="32"/>
      <c r="R19" s="32"/>
      <c r="S19" s="32"/>
      <c r="T19" s="32"/>
      <c r="U19" s="32"/>
      <c r="V19" s="32"/>
      <c r="W19" s="32"/>
      <c r="X19" s="32"/>
      <c r="Y19" s="32"/>
    </row>
    <row r="20" spans="1:27">
      <c r="E20" s="32"/>
      <c r="F20" s="32"/>
      <c r="G20" s="32"/>
      <c r="H20" s="32"/>
      <c r="I20" s="32"/>
      <c r="J20" s="32"/>
      <c r="K20" s="32"/>
      <c r="L20" s="32"/>
      <c r="M20" s="32"/>
      <c r="N20" s="32"/>
      <c r="O20" s="32"/>
      <c r="P20" s="32"/>
      <c r="Q20" s="32"/>
      <c r="R20" s="32"/>
      <c r="S20" s="32"/>
      <c r="T20" s="32"/>
      <c r="U20" s="32"/>
      <c r="V20" s="32"/>
      <c r="W20" s="32"/>
      <c r="X20" s="32"/>
      <c r="Y20" s="32"/>
    </row>
    <row r="21" spans="1:27" ht="15">
      <c r="A21" s="53" t="str">
        <f>CONCATENATE("# HOMES APPLICABLE BY YEAR FOR MEASURE - ",C22)</f>
        <v># HOMES APPLICABLE BY YEAR FOR MEASURE - Showerheads - New</v>
      </c>
      <c r="E21" s="32"/>
      <c r="F21" s="32"/>
      <c r="G21" s="32"/>
      <c r="H21" s="32"/>
      <c r="I21" s="32"/>
      <c r="J21" s="32"/>
      <c r="K21" s="32"/>
      <c r="L21" s="32"/>
      <c r="M21" s="32"/>
      <c r="N21" s="32"/>
      <c r="O21" s="32"/>
      <c r="P21" s="32"/>
      <c r="Q21" s="32"/>
      <c r="R21" s="32"/>
      <c r="S21" s="32"/>
      <c r="T21" s="32"/>
      <c r="U21" s="32"/>
      <c r="V21" s="32"/>
      <c r="W21" s="32"/>
      <c r="X21" s="32"/>
      <c r="Y21" s="32"/>
    </row>
    <row r="22" spans="1:27" ht="15">
      <c r="A22" s="62" t="s">
        <v>67</v>
      </c>
      <c r="B22" s="62" t="s">
        <v>154</v>
      </c>
      <c r="C22" s="62" t="str">
        <f>CONCATENATE(C8," - ",C7)</f>
        <v>Showerheads - New</v>
      </c>
      <c r="D22" s="62"/>
      <c r="AA22" s="301">
        <v>0.85</v>
      </c>
    </row>
    <row r="23" spans="1:27">
      <c r="A23" s="54">
        <f>INDEX([2]!ResApplic,MATCH($C$22,[2]APPLIC!$B$9:$B$120,0)+1,MATCH($C23,[2]APPLIC!$C$8:$F$8,0)+1)</f>
        <v>0.51600000000000001</v>
      </c>
      <c r="B23" s="75">
        <f>VLOOKUP($C23,'Units Per Home'!$A$5:$B$8,2,FALSE)</f>
        <v>1.7774820945436154</v>
      </c>
      <c r="C23" s="7" t="str">
        <f>C13</f>
        <v>Single Family</v>
      </c>
      <c r="E23" s="32">
        <f ca="1">E13*$A23*$B23</f>
        <v>57494.172129974162</v>
      </c>
      <c r="F23" s="32">
        <f t="shared" ref="F23:X23" ca="1" si="3">F13*$A23*$B23</f>
        <v>54995.791915573915</v>
      </c>
      <c r="G23" s="32">
        <f t="shared" ca="1" si="3"/>
        <v>52127.062364595724</v>
      </c>
      <c r="H23" s="32">
        <f t="shared" ca="1" si="3"/>
        <v>50431.361147622869</v>
      </c>
      <c r="I23" s="32">
        <f t="shared" ca="1" si="3"/>
        <v>49076.025710977148</v>
      </c>
      <c r="J23" s="32">
        <f t="shared" ca="1" si="3"/>
        <v>46759.755405353702</v>
      </c>
      <c r="K23" s="32">
        <f t="shared" ca="1" si="3"/>
        <v>45457.009279169841</v>
      </c>
      <c r="L23" s="32">
        <f t="shared" ca="1" si="3"/>
        <v>45239.498944569037</v>
      </c>
      <c r="M23" s="32">
        <f t="shared" ca="1" si="3"/>
        <v>44772.885066881434</v>
      </c>
      <c r="N23" s="32">
        <f t="shared" ca="1" si="3"/>
        <v>45568.522867608306</v>
      </c>
      <c r="O23" s="32">
        <f t="shared" ca="1" si="3"/>
        <v>45886.679115813044</v>
      </c>
      <c r="P23" s="32">
        <f t="shared" ca="1" si="3"/>
        <v>45297.506041784851</v>
      </c>
      <c r="Q23" s="32">
        <f t="shared" ca="1" si="3"/>
        <v>44097.45114230147</v>
      </c>
      <c r="R23" s="32">
        <f t="shared" ca="1" si="3"/>
        <v>44143.03961201627</v>
      </c>
      <c r="S23" s="32">
        <f t="shared" ca="1" si="3"/>
        <v>44658.053118450465</v>
      </c>
      <c r="T23" s="32">
        <f t="shared" ca="1" si="3"/>
        <v>44467.550088531716</v>
      </c>
      <c r="U23" s="32">
        <f t="shared" ca="1" si="3"/>
        <v>42996.517801997594</v>
      </c>
      <c r="V23" s="32">
        <f t="shared" ca="1" si="3"/>
        <v>42922.93880982518</v>
      </c>
      <c r="W23" s="32">
        <f t="shared" ca="1" si="3"/>
        <v>43031.944826063656</v>
      </c>
      <c r="X23" s="32">
        <f t="shared" ca="1" si="3"/>
        <v>43324.083407627215</v>
      </c>
      <c r="Y23" s="32"/>
      <c r="AA23" s="32">
        <f ca="1">X23*$AA$22</f>
        <v>36825.47089648313</v>
      </c>
    </row>
    <row r="24" spans="1:27">
      <c r="A24" s="54">
        <f>INDEX([2]!ResApplic,MATCH($C$22,[2]APPLIC!$B$9:$B$120,0)+1,MATCH($C24,[2]APPLIC!$C$8:$F$8,0)+1)</f>
        <v>0.58000000000000007</v>
      </c>
      <c r="B24" s="75">
        <f>VLOOKUP($C24,'Units Per Home'!$A$5:$B$8,2,FALSE)</f>
        <v>1.2545812426096488</v>
      </c>
      <c r="C24" s="7" t="str">
        <f>C14</f>
        <v>Multifamily - Low Rise</v>
      </c>
      <c r="E24" s="32">
        <f t="shared" ref="E24:X24" ca="1" si="4">E14*$A24*$B24</f>
        <v>16940.110340657335</v>
      </c>
      <c r="F24" s="32">
        <f t="shared" ca="1" si="4"/>
        <v>16748.788185301084</v>
      </c>
      <c r="G24" s="32">
        <f t="shared" ca="1" si="4"/>
        <v>16599.029380092481</v>
      </c>
      <c r="H24" s="32">
        <f t="shared" ca="1" si="4"/>
        <v>16070.97432008416</v>
      </c>
      <c r="I24" s="32">
        <f t="shared" ca="1" si="4"/>
        <v>15148.259634232418</v>
      </c>
      <c r="J24" s="32">
        <f t="shared" ca="1" si="4"/>
        <v>14604.281669158127</v>
      </c>
      <c r="K24" s="32">
        <f t="shared" ca="1" si="4"/>
        <v>14471.52204959454</v>
      </c>
      <c r="L24" s="32">
        <f t="shared" ca="1" si="4"/>
        <v>14740.574671067377</v>
      </c>
      <c r="M24" s="32">
        <f t="shared" ca="1" si="4"/>
        <v>15099.153054088783</v>
      </c>
      <c r="N24" s="32">
        <f t="shared" ca="1" si="4"/>
        <v>15509.527111925794</v>
      </c>
      <c r="O24" s="32">
        <f t="shared" ca="1" si="4"/>
        <v>15574.253639043403</v>
      </c>
      <c r="P24" s="32">
        <f t="shared" ca="1" si="4"/>
        <v>15578.511362231591</v>
      </c>
      <c r="Q24" s="32">
        <f t="shared" ca="1" si="4"/>
        <v>15603.412353392398</v>
      </c>
      <c r="R24" s="32">
        <f t="shared" ca="1" si="4"/>
        <v>15433.50975251783</v>
      </c>
      <c r="S24" s="32">
        <f t="shared" ca="1" si="4"/>
        <v>15247.456817912345</v>
      </c>
      <c r="T24" s="32">
        <f t="shared" ca="1" si="4"/>
        <v>14935.482740616171</v>
      </c>
      <c r="U24" s="32">
        <f t="shared" ca="1" si="4"/>
        <v>14680.850312057242</v>
      </c>
      <c r="V24" s="32">
        <f t="shared" ca="1" si="4"/>
        <v>14494.728958483154</v>
      </c>
      <c r="W24" s="32">
        <f t="shared" ca="1" si="4"/>
        <v>14215.650724070614</v>
      </c>
      <c r="X24" s="32">
        <f t="shared" ca="1" si="4"/>
        <v>14161.871816255836</v>
      </c>
      <c r="Y24" s="32"/>
      <c r="AA24" s="32">
        <f t="shared" ref="AA24:AA26" ca="1" si="5">X24*$AA$22</f>
        <v>12037.59104381746</v>
      </c>
    </row>
    <row r="25" spans="1:27">
      <c r="A25" s="54">
        <f>INDEX([2]!ResApplic,MATCH($C$22,[2]APPLIC!$B$9:$B$120,0)+1,MATCH($C25,[2]APPLIC!$C$8:$F$8,0)+1)</f>
        <v>0.58000000000000007</v>
      </c>
      <c r="B25" s="75">
        <f>VLOOKUP($C25,'Units Per Home'!$A$5:$B$8,2,FALSE)</f>
        <v>1.2545812426096488</v>
      </c>
      <c r="C25" s="7" t="str">
        <f>C15</f>
        <v>Multifamily - High Rise</v>
      </c>
      <c r="E25" s="32">
        <f t="shared" ref="E25:X25" ca="1" si="6">E15*$A25*$B25</f>
        <v>3802.9098345515249</v>
      </c>
      <c r="F25" s="32">
        <f t="shared" ca="1" si="6"/>
        <v>3812.8892054994867</v>
      </c>
      <c r="G25" s="32">
        <f t="shared" ca="1" si="6"/>
        <v>3835.6708026952447</v>
      </c>
      <c r="H25" s="32">
        <f t="shared" ca="1" si="6"/>
        <v>3628.0136703691442</v>
      </c>
      <c r="I25" s="32">
        <f t="shared" ca="1" si="6"/>
        <v>3353.4742057429557</v>
      </c>
      <c r="J25" s="32">
        <f t="shared" ca="1" si="6"/>
        <v>3281.4699085934735</v>
      </c>
      <c r="K25" s="32">
        <f t="shared" ca="1" si="6"/>
        <v>3261.1848328070096</v>
      </c>
      <c r="L25" s="32">
        <f t="shared" ca="1" si="6"/>
        <v>3363.1084416709441</v>
      </c>
      <c r="M25" s="32">
        <f t="shared" ca="1" si="6"/>
        <v>3420.7003301252466</v>
      </c>
      <c r="N25" s="32">
        <f t="shared" ca="1" si="6"/>
        <v>3513.302607573522</v>
      </c>
      <c r="O25" s="32">
        <f t="shared" ca="1" si="6"/>
        <v>3485.4957370515026</v>
      </c>
      <c r="P25" s="32">
        <f t="shared" ca="1" si="6"/>
        <v>3479.7036462294814</v>
      </c>
      <c r="Q25" s="32">
        <f t="shared" ca="1" si="6"/>
        <v>3455.2004027471971</v>
      </c>
      <c r="R25" s="32">
        <f t="shared" ca="1" si="6"/>
        <v>3444.3521510290129</v>
      </c>
      <c r="S25" s="32">
        <f t="shared" ca="1" si="6"/>
        <v>3419.0404589784862</v>
      </c>
      <c r="T25" s="32">
        <f t="shared" ca="1" si="6"/>
        <v>3346.71251381413</v>
      </c>
      <c r="U25" s="32">
        <f t="shared" ca="1" si="6"/>
        <v>3293.6020088685441</v>
      </c>
      <c r="V25" s="32">
        <f t="shared" ca="1" si="6"/>
        <v>3217.7434801727368</v>
      </c>
      <c r="W25" s="32">
        <f t="shared" ca="1" si="6"/>
        <v>3205.4623137995404</v>
      </c>
      <c r="X25" s="32">
        <f t="shared" ca="1" si="6"/>
        <v>3190.8592079338055</v>
      </c>
      <c r="Y25" s="32"/>
      <c r="AA25" s="32">
        <f t="shared" ca="1" si="5"/>
        <v>2712.2303267437346</v>
      </c>
    </row>
    <row r="26" spans="1:27">
      <c r="A26" s="54">
        <f>INDEX([2]!ResApplic,MATCH($C$22,[2]APPLIC!$B$9:$B$120,0)+1,MATCH($C26,[2]APPLIC!$C$8:$F$8,0)+1)</f>
        <v>0.33999999999999997</v>
      </c>
      <c r="B26" s="75">
        <f>VLOOKUP($C26,'Units Per Home'!$A$5:$B$8,2,FALSE)</f>
        <v>1.6479686904104249</v>
      </c>
      <c r="C26" t="s">
        <v>51</v>
      </c>
      <c r="D26"/>
      <c r="E26" s="32">
        <f t="shared" ref="E26:X26" ca="1" si="7">E16*$A26*$B26</f>
        <v>1047.5405888643529</v>
      </c>
      <c r="F26" s="32">
        <f t="shared" ca="1" si="7"/>
        <v>1054.3880739332606</v>
      </c>
      <c r="G26" s="32">
        <f t="shared" ca="1" si="7"/>
        <v>1092.1180270632278</v>
      </c>
      <c r="H26" s="32">
        <f t="shared" ca="1" si="7"/>
        <v>1132.4952287579738</v>
      </c>
      <c r="I26" s="32">
        <f t="shared" ca="1" si="7"/>
        <v>1097.9296382860573</v>
      </c>
      <c r="J26" s="32">
        <f t="shared" ca="1" si="7"/>
        <v>1080.5994182088593</v>
      </c>
      <c r="K26" s="32">
        <f t="shared" ca="1" si="7"/>
        <v>1084.1784958522885</v>
      </c>
      <c r="L26" s="32">
        <f t="shared" ca="1" si="7"/>
        <v>1090.2848136836114</v>
      </c>
      <c r="M26" s="32">
        <f t="shared" ca="1" si="7"/>
        <v>1096.2676036420032</v>
      </c>
      <c r="N26" s="32">
        <f t="shared" ca="1" si="7"/>
        <v>1096.9591997384657</v>
      </c>
      <c r="O26" s="32">
        <f t="shared" ca="1" si="7"/>
        <v>1091.0365282352143</v>
      </c>
      <c r="P26" s="32">
        <f t="shared" ca="1" si="7"/>
        <v>1089.8876765600735</v>
      </c>
      <c r="Q26" s="32">
        <f t="shared" ca="1" si="7"/>
        <v>1091.4357196186093</v>
      </c>
      <c r="R26" s="32">
        <f t="shared" ca="1" si="7"/>
        <v>1092.645256912996</v>
      </c>
      <c r="S26" s="32">
        <f t="shared" ca="1" si="7"/>
        <v>1093.0386641178941</v>
      </c>
      <c r="T26" s="32">
        <f t="shared" ca="1" si="7"/>
        <v>1092.5005075305421</v>
      </c>
      <c r="U26" s="32">
        <f t="shared" ca="1" si="7"/>
        <v>1091.7573921625549</v>
      </c>
      <c r="V26" s="32">
        <f t="shared" ca="1" si="7"/>
        <v>1091.8775361504452</v>
      </c>
      <c r="W26" s="32">
        <f t="shared" ca="1" si="7"/>
        <v>1092.2091794155069</v>
      </c>
      <c r="X26" s="32">
        <f t="shared" ca="1" si="7"/>
        <v>1092.3380893816563</v>
      </c>
      <c r="Y26" s="32"/>
      <c r="AA26" s="32">
        <f t="shared" ca="1" si="5"/>
        <v>928.48737597440788</v>
      </c>
    </row>
    <row r="27" spans="1:27">
      <c r="E27" s="32"/>
      <c r="F27" s="32"/>
      <c r="G27" s="32"/>
      <c r="H27" s="32"/>
      <c r="I27" s="32"/>
      <c r="J27" s="32"/>
      <c r="K27" s="32"/>
      <c r="L27" s="32"/>
      <c r="M27" s="32"/>
      <c r="N27" s="32"/>
      <c r="O27" s="32"/>
      <c r="P27" s="32"/>
      <c r="Q27" s="32"/>
      <c r="R27" s="32"/>
      <c r="S27" s="32"/>
      <c r="T27" s="32"/>
      <c r="U27" s="32"/>
      <c r="V27" s="32"/>
      <c r="W27" s="32"/>
      <c r="X27" s="32"/>
      <c r="Y27" s="32"/>
    </row>
    <row r="28" spans="1:27">
      <c r="E28" s="32">
        <f t="shared" ref="E28:X28" ca="1" si="8">SUM(E23:E26)</f>
        <v>79284.732894047382</v>
      </c>
      <c r="F28" s="32">
        <f t="shared" ca="1" si="8"/>
        <v>76611.85738030776</v>
      </c>
      <c r="G28" s="32">
        <f t="shared" ca="1" si="8"/>
        <v>73653.880574446681</v>
      </c>
      <c r="H28" s="32">
        <f t="shared" ca="1" si="8"/>
        <v>71262.84436683415</v>
      </c>
      <c r="I28" s="32">
        <f t="shared" ca="1" si="8"/>
        <v>68675.68918923859</v>
      </c>
      <c r="J28" s="32">
        <f t="shared" ca="1" si="8"/>
        <v>65726.106401314159</v>
      </c>
      <c r="K28" s="32">
        <f t="shared" ca="1" si="8"/>
        <v>64273.894657423683</v>
      </c>
      <c r="L28" s="32">
        <f t="shared" ca="1" si="8"/>
        <v>64433.466870990967</v>
      </c>
      <c r="M28" s="32">
        <f t="shared" ca="1" si="8"/>
        <v>64389.006054737467</v>
      </c>
      <c r="N28" s="32">
        <f t="shared" ca="1" si="8"/>
        <v>65688.311786846098</v>
      </c>
      <c r="O28" s="32">
        <f t="shared" ca="1" si="8"/>
        <v>66037.465020143165</v>
      </c>
      <c r="P28" s="32">
        <f t="shared" ca="1" si="8"/>
        <v>65445.608726805993</v>
      </c>
      <c r="Q28" s="32">
        <f t="shared" ca="1" si="8"/>
        <v>64247.499618059679</v>
      </c>
      <c r="R28" s="32">
        <f t="shared" ca="1" si="8"/>
        <v>64113.546772476111</v>
      </c>
      <c r="S28" s="32">
        <f t="shared" ca="1" si="8"/>
        <v>64417.589059459191</v>
      </c>
      <c r="T28" s="32">
        <f t="shared" ca="1" si="8"/>
        <v>63842.24585049256</v>
      </c>
      <c r="U28" s="32">
        <f t="shared" ca="1" si="8"/>
        <v>62062.727515085935</v>
      </c>
      <c r="V28" s="32">
        <f t="shared" ca="1" si="8"/>
        <v>61727.288784631513</v>
      </c>
      <c r="W28" s="32">
        <f t="shared" ca="1" si="8"/>
        <v>61545.267043349311</v>
      </c>
      <c r="X28" s="32">
        <f t="shared" ca="1" si="8"/>
        <v>61769.152521198514</v>
      </c>
      <c r="Y28" s="32"/>
      <c r="AA28" s="32">
        <f ca="1">X28*$AA$22</f>
        <v>52503.779643018737</v>
      </c>
    </row>
    <row r="29" spans="1:27">
      <c r="E29" s="32"/>
      <c r="F29" s="32"/>
      <c r="G29" s="32"/>
      <c r="H29" s="32"/>
      <c r="I29" s="32"/>
      <c r="J29" s="32"/>
      <c r="K29" s="32"/>
      <c r="L29" s="32"/>
      <c r="M29" s="32"/>
      <c r="N29" s="32"/>
      <c r="O29" s="32"/>
      <c r="P29" s="32"/>
      <c r="Q29" s="32"/>
      <c r="R29" s="32"/>
      <c r="S29" s="32"/>
      <c r="T29" s="32"/>
      <c r="U29" s="32"/>
      <c r="V29" s="32"/>
      <c r="W29" s="32"/>
      <c r="X29" s="32"/>
      <c r="Y29" s="32"/>
    </row>
    <row r="31" spans="1:27" ht="15.75" thickBot="1">
      <c r="A31" s="53" t="str">
        <f>CONCATENATE("# UNITS ACHIEVABLE BY YEAR FOR MEASURE - ",C32)</f>
        <v># UNITS ACHIEVABLE BY YEAR FOR MEASURE - Showerheads - New</v>
      </c>
      <c r="D31" s="62" t="s">
        <v>69</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62" t="str">
        <f>CONCATENATE(C8," - ",C7)</f>
        <v>Showerheads - New</v>
      </c>
      <c r="D32" s="62"/>
      <c r="E32" s="66">
        <f>VLOOKUP($C$32,[2]ACHIEV!$B$9:$X$100,MATCH(E$11,$E$11:$Y$11,0)+2,FALSE)</f>
        <v>0.10937459468255628</v>
      </c>
      <c r="F32" s="66">
        <f>VLOOKUP($C$32,[2]ACHIEV!$B$9:$X$100,MATCH(F$11,$E$11:$Y$11,0)+2,FALSE)</f>
        <v>0.21874918936511256</v>
      </c>
      <c r="G32" s="66">
        <f>VLOOKUP($C$32,[2]ACHIEV!$B$9:$X$100,MATCH(G$11,$E$11:$Y$11,0)+2,FALSE)</f>
        <v>0.32812378404766884</v>
      </c>
      <c r="H32" s="66">
        <f>VLOOKUP($C$32,[2]ACHIEV!$B$9:$X$100,MATCH(H$11,$E$11:$Y$11,0)+2,FALSE)</f>
        <v>0.43749837873022512</v>
      </c>
      <c r="I32" s="66">
        <f>VLOOKUP($C$32,[2]ACHIEV!$B$9:$X$100,MATCH(I$11,$E$11:$Y$11,0)+2,FALSE)</f>
        <v>0.5468729734127814</v>
      </c>
      <c r="J32" s="66">
        <f>VLOOKUP($C$32,[2]ACHIEV!$B$9:$X$100,MATCH(J$11,$E$11:$Y$11,0)+2,FALSE)</f>
        <v>0.64531010862708205</v>
      </c>
      <c r="K32" s="66">
        <f>VLOOKUP($C$32,[2]ACHIEV!$B$9:$X$100,MATCH(K$11,$E$11:$Y$11,0)+2,FALSE)</f>
        <v>0.7240598167985226</v>
      </c>
      <c r="L32" s="66">
        <f>VLOOKUP($C$32,[2]ACHIEV!$B$9:$X$100,MATCH(L$11,$E$11:$Y$11,0)+2,FALSE)</f>
        <v>0.78705958333567505</v>
      </c>
      <c r="M32" s="66">
        <f>VLOOKUP($C$32,[2]ACHIEV!$B$9:$X$100,MATCH(M$11,$E$11:$Y$11,0)+2,FALSE)</f>
        <v>0.83745939656539703</v>
      </c>
      <c r="N32" s="66">
        <f>VLOOKUP($C$32,[2]ACHIEV!$B$9:$X$100,MATCH(N$11,$E$11:$Y$11,0)+2,FALSE)</f>
        <v>0.87777924714917455</v>
      </c>
      <c r="O32" s="66">
        <f>VLOOKUP($C$32,[2]ACHIEV!$B$9:$X$100,MATCH(O$11,$E$11:$Y$11,0)+2,FALSE)</f>
        <v>0.91003512761619654</v>
      </c>
      <c r="P32" s="66">
        <f>VLOOKUP($C$32,[2]ACHIEV!$B$9:$X$100,MATCH(P$11,$E$11:$Y$11,0)+2,FALSE)</f>
        <v>0.93583983198981413</v>
      </c>
      <c r="Q32" s="66">
        <f>VLOOKUP($C$32,[2]ACHIEV!$B$9:$X$100,MATCH(Q$11,$E$11:$Y$11,0)+2,FALSE)</f>
        <v>0.9564835954887082</v>
      </c>
      <c r="R32" s="66">
        <f>VLOOKUP($C$32,[2]ACHIEV!$B$9:$X$100,MATCH(R$11,$E$11:$Y$11,0)+2,FALSE)</f>
        <v>0.97299860628782353</v>
      </c>
      <c r="S32" s="66">
        <f>VLOOKUP($C$32,[2]ACHIEV!$B$9:$X$100,MATCH(S$11,$E$11:$Y$11,0)+2,FALSE)</f>
        <v>0.9862106149271157</v>
      </c>
      <c r="T32" s="66">
        <f>VLOOKUP($C$32,[2]ACHIEV!$B$9:$X$100,MATCH(T$11,$E$11:$Y$11,0)+2,FALSE)</f>
        <v>0.99678022183854953</v>
      </c>
      <c r="U32" s="66">
        <f>VLOOKUP($C$32,[2]ACHIEV!$B$9:$X$100,MATCH(U$11,$E$11:$Y$11,0)+2,FALSE)</f>
        <v>0.99685231466234414</v>
      </c>
      <c r="V32" s="66">
        <f>VLOOKUP($C$32,[2]ACHIEV!$B$9:$X$100,MATCH(V$11,$E$11:$Y$11,0)+2,FALSE)</f>
        <v>0.99687806209941365</v>
      </c>
      <c r="W32" s="66">
        <f>VLOOKUP($C$32,[2]ACHIEV!$B$9:$X$100,MATCH(W$11,$E$11:$Y$11,0)+2,FALSE)</f>
        <v>0.99688683963477831</v>
      </c>
      <c r="X32" s="66">
        <f>VLOOKUP($C$32,[2]ACHIEV!$B$9:$X$100,MATCH(X$11,$E$11:$Y$11,0)+2,FALSE)</f>
        <v>0.99688970187457115</v>
      </c>
      <c r="Y32" s="66"/>
      <c r="AA32" s="298">
        <v>0.85</v>
      </c>
    </row>
    <row r="33" spans="1:80">
      <c r="C33" s="7" t="str">
        <f>C23</f>
        <v>Single Family</v>
      </c>
      <c r="E33" s="32">
        <f ca="1">E23*E$32*$AA$32</f>
        <v>5345.1415073262906</v>
      </c>
      <c r="F33" s="32">
        <f t="shared" ref="F33:X33" ca="1" si="9">F23*F$32*$AA$32</f>
        <v>10225.742165020572</v>
      </c>
      <c r="G33" s="32">
        <f t="shared" ca="1" si="9"/>
        <v>14538.509611205978</v>
      </c>
      <c r="H33" s="32">
        <f t="shared" ca="1" si="9"/>
        <v>18754.092928356949</v>
      </c>
      <c r="I33" s="32">
        <f t="shared" ca="1" si="9"/>
        <v>22812.599288267556</v>
      </c>
      <c r="J33" s="32">
        <f t="shared" ca="1" si="9"/>
        <v>25648.361414003899</v>
      </c>
      <c r="K33" s="32">
        <f t="shared" ca="1" si="9"/>
        <v>27976.554739251787</v>
      </c>
      <c r="L33" s="32">
        <f t="shared" ca="1" si="9"/>
        <v>30265.254011183137</v>
      </c>
      <c r="M33" s="32">
        <f t="shared" ca="1" si="9"/>
        <v>31871.152314012037</v>
      </c>
      <c r="N33" s="32">
        <f t="shared" ca="1" si="9"/>
        <v>33999.238141964786</v>
      </c>
      <c r="O33" s="32">
        <f t="shared" ca="1" si="9"/>
        <v>35494.716402286023</v>
      </c>
      <c r="P33" s="32">
        <f t="shared" ca="1" si="9"/>
        <v>36032.528877146295</v>
      </c>
      <c r="Q33" s="32">
        <f t="shared" ca="1" si="9"/>
        <v>35851.715327404723</v>
      </c>
      <c r="R33" s="32">
        <f t="shared" ca="1" si="9"/>
        <v>36508.448616830014</v>
      </c>
      <c r="S33" s="32">
        <f t="shared" ca="1" si="9"/>
        <v>37435.909123285608</v>
      </c>
      <c r="T33" s="32">
        <f t="shared" ca="1" si="9"/>
        <v>37675.718275583939</v>
      </c>
      <c r="U33" s="32">
        <f t="shared" ca="1" si="9"/>
        <v>36432.00154934069</v>
      </c>
      <c r="V33" s="32">
        <f t="shared" ca="1" si="9"/>
        <v>36370.595651297699</v>
      </c>
      <c r="W33" s="32">
        <f t="shared" ca="1" si="9"/>
        <v>36463.282558843835</v>
      </c>
      <c r="X33" s="32">
        <f t="shared" ca="1" si="9"/>
        <v>36710.932703385763</v>
      </c>
      <c r="Y33" s="32"/>
      <c r="AA33" s="32">
        <f t="shared" ref="AA33:AA36" ca="1" si="10">SUM(E33:Y33)</f>
        <v>586412.49520599749</v>
      </c>
    </row>
    <row r="34" spans="1:80">
      <c r="C34" s="7" t="str">
        <f>C24</f>
        <v>Multifamily - Low Rise</v>
      </c>
      <c r="E34" s="32">
        <f t="shared" ref="E34:X34" ca="1" si="11">E24*E$32*$AA$32</f>
        <v>1574.8950470290999</v>
      </c>
      <c r="F34" s="32">
        <f t="shared" ca="1" si="11"/>
        <v>3114.2162626251989</v>
      </c>
      <c r="G34" s="32">
        <f t="shared" ca="1" si="11"/>
        <v>4629.5558819572188</v>
      </c>
      <c r="H34" s="32">
        <f t="shared" ca="1" si="11"/>
        <v>5976.3714282041174</v>
      </c>
      <c r="I34" s="32">
        <f t="shared" ca="1" si="11"/>
        <v>7041.5477199712705</v>
      </c>
      <c r="J34" s="32">
        <f t="shared" ca="1" si="11"/>
        <v>8010.6470017931933</v>
      </c>
      <c r="K34" s="32">
        <f t="shared" ca="1" si="11"/>
        <v>8906.5104634214222</v>
      </c>
      <c r="L34" s="32">
        <f t="shared" ca="1" si="11"/>
        <v>9861.453974927892</v>
      </c>
      <c r="M34" s="32">
        <f t="shared" ca="1" si="11"/>
        <v>10748.188464526898</v>
      </c>
      <c r="N34" s="32">
        <f t="shared" ca="1" si="11"/>
        <v>11571.849877154043</v>
      </c>
      <c r="O34" s="32">
        <f t="shared" ca="1" si="11"/>
        <v>12047.150213243794</v>
      </c>
      <c r="P34" s="32">
        <f t="shared" ca="1" si="11"/>
        <v>12392.142737499888</v>
      </c>
      <c r="Q34" s="32">
        <f t="shared" ca="1" si="11"/>
        <v>12685.746757215833</v>
      </c>
      <c r="R34" s="32">
        <f t="shared" ca="1" si="11"/>
        <v>12764.265957429972</v>
      </c>
      <c r="S34" s="32">
        <f t="shared" ca="1" si="11"/>
        <v>12781.623199797779</v>
      </c>
      <c r="T34" s="32">
        <f t="shared" ca="1" si="11"/>
        <v>12654.284729538633</v>
      </c>
      <c r="U34" s="32">
        <f t="shared" ca="1" si="11"/>
        <v>12439.44367256781</v>
      </c>
      <c r="V34" s="32">
        <f t="shared" ca="1" si="11"/>
        <v>12282.055717570598</v>
      </c>
      <c r="W34" s="32">
        <f t="shared" ca="1" si="11"/>
        <v>12045.685855120011</v>
      </c>
      <c r="X34" s="32">
        <f t="shared" ca="1" si="11"/>
        <v>12000.150546959196</v>
      </c>
      <c r="Y34" s="32"/>
      <c r="AA34" s="32">
        <f t="shared" ca="1" si="10"/>
        <v>195527.78550855388</v>
      </c>
    </row>
    <row r="35" spans="1:80">
      <c r="C35" s="7" t="s">
        <v>50</v>
      </c>
      <c r="E35" s="32">
        <f t="shared" ref="E35:X35" ca="1" si="12">E25*E$32*$AA$32</f>
        <v>353.55046350312318</v>
      </c>
      <c r="F35" s="32">
        <f t="shared" ca="1" si="12"/>
        <v>708.95645941570058</v>
      </c>
      <c r="G35" s="32">
        <f t="shared" ca="1" si="12"/>
        <v>1069.7885954202945</v>
      </c>
      <c r="H35" s="32">
        <f t="shared" ca="1" si="12"/>
        <v>1349.1625839779547</v>
      </c>
      <c r="I35" s="32">
        <f t="shared" ca="1" si="12"/>
        <v>1558.8357486340583</v>
      </c>
      <c r="J35" s="32">
        <f t="shared" ca="1" si="12"/>
        <v>1799.930847695312</v>
      </c>
      <c r="K35" s="32">
        <f t="shared" ca="1" si="12"/>
        <v>2007.0989587001093</v>
      </c>
      <c r="L35" s="32">
        <f t="shared" ca="1" si="12"/>
        <v>2249.9217194920907</v>
      </c>
      <c r="M35" s="32">
        <f t="shared" ca="1" si="12"/>
        <v>2434.9929891530819</v>
      </c>
      <c r="N35" s="32">
        <f t="shared" ca="1" si="12"/>
        <v>2621.3185002006503</v>
      </c>
      <c r="O35" s="32">
        <f t="shared" ca="1" si="12"/>
        <v>2696.1350241923674</v>
      </c>
      <c r="P35" s="32">
        <f t="shared" ca="1" si="12"/>
        <v>2767.9784843124803</v>
      </c>
      <c r="Q35" s="32">
        <f t="shared" ca="1" si="12"/>
        <v>2809.1161287006207</v>
      </c>
      <c r="R35" s="32">
        <f t="shared" ca="1" si="12"/>
        <v>2848.647366138342</v>
      </c>
      <c r="S35" s="32">
        <f t="shared" ca="1" si="12"/>
        <v>2866.1098944833816</v>
      </c>
      <c r="T35" s="32">
        <f t="shared" ca="1" si="12"/>
        <v>2835.5463156570731</v>
      </c>
      <c r="U35" s="32">
        <f t="shared" ca="1" si="12"/>
        <v>2790.7495681995815</v>
      </c>
      <c r="V35" s="32">
        <f t="shared" ca="1" si="12"/>
        <v>2726.5432021204779</v>
      </c>
      <c r="W35" s="32">
        <f t="shared" ca="1" si="12"/>
        <v>2716.1607162362066</v>
      </c>
      <c r="X35" s="32">
        <f t="shared" ca="1" si="12"/>
        <v>2703.7944818427322</v>
      </c>
      <c r="Y35" s="32"/>
      <c r="AA35" s="32">
        <f t="shared" ca="1" si="10"/>
        <v>43914.338048075639</v>
      </c>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C36" s="7" t="str">
        <f>C26</f>
        <v>Manufactured</v>
      </c>
      <c r="E36" s="32">
        <f t="shared" ref="E36:X36" ca="1" si="13">E26*E$32*$AA$32</f>
        <v>97.388178222480192</v>
      </c>
      <c r="F36" s="32">
        <f t="shared" ca="1" si="13"/>
        <v>196.04955598177165</v>
      </c>
      <c r="G36" s="32">
        <f t="shared" ca="1" si="13"/>
        <v>304.5974147166616</v>
      </c>
      <c r="H36" s="32">
        <f t="shared" ca="1" si="13"/>
        <v>421.14510252612962</v>
      </c>
      <c r="I36" s="32">
        <f t="shared" ca="1" si="13"/>
        <v>510.36383900438835</v>
      </c>
      <c r="J36" s="32">
        <f t="shared" ca="1" si="13"/>
        <v>592.7234687547126</v>
      </c>
      <c r="K36" s="32">
        <f t="shared" ca="1" si="13"/>
        <v>667.25857062114994</v>
      </c>
      <c r="L36" s="32">
        <f t="shared" ca="1" si="13"/>
        <v>729.40124449878169</v>
      </c>
      <c r="M36" s="32">
        <f t="shared" ca="1" si="13"/>
        <v>780.367664947192</v>
      </c>
      <c r="N36" s="32">
        <f t="shared" ca="1" si="13"/>
        <v>818.45481742482264</v>
      </c>
      <c r="O36" s="32">
        <f t="shared" ca="1" si="13"/>
        <v>843.94933127549541</v>
      </c>
      <c r="P36" s="32">
        <f t="shared" ca="1" si="13"/>
        <v>866.9662551017858</v>
      </c>
      <c r="Q36" s="32">
        <f t="shared" ca="1" si="13"/>
        <v>887.34930714377094</v>
      </c>
      <c r="R36" s="32">
        <f t="shared" ca="1" si="13"/>
        <v>903.67096532184416</v>
      </c>
      <c r="S36" s="32">
        <f t="shared" ca="1" si="13"/>
        <v>916.27138311699821</v>
      </c>
      <c r="T36" s="32">
        <f t="shared" ca="1" si="13"/>
        <v>925.63546351676837</v>
      </c>
      <c r="U36" s="32">
        <f t="shared" ca="1" si="13"/>
        <v>925.07275091292229</v>
      </c>
      <c r="V36" s="32">
        <f t="shared" ca="1" si="13"/>
        <v>925.19844794440758</v>
      </c>
      <c r="W36" s="32">
        <f t="shared" ca="1" si="13"/>
        <v>925.48761352447639</v>
      </c>
      <c r="X36" s="32">
        <f t="shared" ca="1" si="13"/>
        <v>925.59950342943023</v>
      </c>
      <c r="Y36" s="32"/>
      <c r="AA36" s="32">
        <f t="shared" ca="1" si="10"/>
        <v>14162.95087798599</v>
      </c>
    </row>
    <row r="37" spans="1:80">
      <c r="E37" s="32"/>
      <c r="F37" s="32"/>
      <c r="G37" s="32"/>
      <c r="H37" s="32"/>
      <c r="I37" s="32"/>
      <c r="J37" s="32"/>
      <c r="K37" s="32"/>
      <c r="L37" s="32"/>
      <c r="M37" s="32"/>
      <c r="N37" s="32"/>
      <c r="O37" s="32"/>
      <c r="P37" s="32"/>
      <c r="Q37" s="32"/>
      <c r="R37" s="32"/>
      <c r="S37" s="32"/>
      <c r="T37" s="32"/>
      <c r="U37" s="32"/>
      <c r="V37" s="32"/>
      <c r="W37" s="32"/>
      <c r="X37" s="32"/>
      <c r="Y37" s="32"/>
    </row>
    <row r="38" spans="1:80">
      <c r="E38" s="32">
        <f t="shared" ref="E38:X38" ca="1" si="14">SUM(E33:E36)</f>
        <v>7370.9751960809936</v>
      </c>
      <c r="F38" s="32">
        <f t="shared" ca="1" si="14"/>
        <v>14244.964443043244</v>
      </c>
      <c r="G38" s="32">
        <f t="shared" ca="1" si="14"/>
        <v>20542.451503300152</v>
      </c>
      <c r="H38" s="32">
        <f t="shared" ca="1" si="14"/>
        <v>26500.772043065153</v>
      </c>
      <c r="I38" s="32">
        <f t="shared" ca="1" si="14"/>
        <v>31923.346595877272</v>
      </c>
      <c r="J38" s="32">
        <f t="shared" ca="1" si="14"/>
        <v>36051.66273224711</v>
      </c>
      <c r="K38" s="32">
        <f t="shared" ca="1" si="14"/>
        <v>39557.422731994469</v>
      </c>
      <c r="L38" s="32">
        <f t="shared" ca="1" si="14"/>
        <v>43106.0309501019</v>
      </c>
      <c r="M38" s="32">
        <f t="shared" ca="1" si="14"/>
        <v>45834.701432639209</v>
      </c>
      <c r="N38" s="32">
        <f t="shared" ca="1" si="14"/>
        <v>49010.861336744303</v>
      </c>
      <c r="O38" s="32">
        <f t="shared" ca="1" si="14"/>
        <v>51081.950970997677</v>
      </c>
      <c r="P38" s="32">
        <f t="shared" ca="1" si="14"/>
        <v>52059.616354060447</v>
      </c>
      <c r="Q38" s="32">
        <f t="shared" ca="1" si="14"/>
        <v>52233.927520464946</v>
      </c>
      <c r="R38" s="32">
        <f t="shared" ca="1" si="14"/>
        <v>53025.032905720167</v>
      </c>
      <c r="S38" s="32">
        <f t="shared" ca="1" si="14"/>
        <v>53999.913600683765</v>
      </c>
      <c r="T38" s="32">
        <f t="shared" ca="1" si="14"/>
        <v>54091.184784296405</v>
      </c>
      <c r="U38" s="32">
        <f t="shared" ca="1" si="14"/>
        <v>52587.267541020999</v>
      </c>
      <c r="V38" s="32">
        <f t="shared" ca="1" si="14"/>
        <v>52304.39301893318</v>
      </c>
      <c r="W38" s="32">
        <f t="shared" ca="1" si="14"/>
        <v>52150.616743724531</v>
      </c>
      <c r="X38" s="32">
        <f t="shared" ca="1" si="14"/>
        <v>52340.477235617123</v>
      </c>
      <c r="Y38" s="32"/>
      <c r="AA38" s="32">
        <f ca="1">SUM(E38:Y38)</f>
        <v>840017.56964061304</v>
      </c>
    </row>
    <row r="40" spans="1:80">
      <c r="AA40"/>
      <c r="AB40"/>
      <c r="AC40"/>
      <c r="AD40"/>
    </row>
    <row r="41" spans="1:80" ht="15">
      <c r="A41" s="53" t="s">
        <v>71</v>
      </c>
      <c r="C41" s="62" t="str">
        <f>C8</f>
        <v>Showerheads</v>
      </c>
      <c r="D41" s="62"/>
      <c r="E41" s="7" t="s">
        <v>361</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62" t="s">
        <v>72</v>
      </c>
      <c r="B42" s="62" t="s">
        <v>24</v>
      </c>
      <c r="C42" s="62">
        <v>1</v>
      </c>
      <c r="D42" s="62"/>
      <c r="E42" s="56">
        <f t="shared" ref="E42:X42" si="15">E11</f>
        <v>2016</v>
      </c>
      <c r="F42" s="57">
        <f t="shared" si="15"/>
        <v>2017</v>
      </c>
      <c r="G42" s="57">
        <f t="shared" si="15"/>
        <v>2018</v>
      </c>
      <c r="H42" s="57">
        <f t="shared" si="15"/>
        <v>2019</v>
      </c>
      <c r="I42" s="57">
        <f t="shared" si="15"/>
        <v>2020</v>
      </c>
      <c r="J42" s="57">
        <f t="shared" si="15"/>
        <v>2021</v>
      </c>
      <c r="K42" s="57">
        <f t="shared" si="15"/>
        <v>2022</v>
      </c>
      <c r="L42" s="57">
        <f t="shared" si="15"/>
        <v>2023</v>
      </c>
      <c r="M42" s="57">
        <f t="shared" si="15"/>
        <v>2024</v>
      </c>
      <c r="N42" s="57">
        <f t="shared" si="15"/>
        <v>2025</v>
      </c>
      <c r="O42" s="57">
        <f t="shared" si="15"/>
        <v>2026</v>
      </c>
      <c r="P42" s="57">
        <f t="shared" si="15"/>
        <v>2027</v>
      </c>
      <c r="Q42" s="57">
        <f t="shared" si="15"/>
        <v>2028</v>
      </c>
      <c r="R42" s="57">
        <f t="shared" si="15"/>
        <v>2029</v>
      </c>
      <c r="S42" s="57">
        <f t="shared" si="15"/>
        <v>2030</v>
      </c>
      <c r="T42" s="57">
        <f t="shared" si="15"/>
        <v>2031</v>
      </c>
      <c r="U42" s="57">
        <f t="shared" si="15"/>
        <v>2032</v>
      </c>
      <c r="V42" s="57">
        <f t="shared" si="15"/>
        <v>2033</v>
      </c>
      <c r="W42" s="57">
        <f t="shared" si="15"/>
        <v>2034</v>
      </c>
      <c r="X42" s="57">
        <f t="shared" si="15"/>
        <v>2035</v>
      </c>
      <c r="Y42" s="58" t="s">
        <v>68</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62" t="s">
        <v>46</v>
      </c>
      <c r="B43" s="62" t="s">
        <v>73</v>
      </c>
      <c r="C43" s="62" t="s">
        <v>74</v>
      </c>
      <c r="D43" s="62" t="s">
        <v>75</v>
      </c>
      <c r="E43" s="59" t="str">
        <f>CONCATENATE("aMW_",E$11)</f>
        <v>aMW_2016</v>
      </c>
      <c r="F43" s="60" t="str">
        <f t="shared" ref="F43:X43" si="16">CONCATENATE("aMW_",F$11)</f>
        <v>aMW_2017</v>
      </c>
      <c r="G43" s="60" t="str">
        <f t="shared" si="16"/>
        <v>aMW_2018</v>
      </c>
      <c r="H43" s="60" t="str">
        <f t="shared" si="16"/>
        <v>aMW_2019</v>
      </c>
      <c r="I43" s="60" t="str">
        <f t="shared" si="16"/>
        <v>aMW_2020</v>
      </c>
      <c r="J43" s="60" t="str">
        <f t="shared" si="16"/>
        <v>aMW_2021</v>
      </c>
      <c r="K43" s="60" t="str">
        <f t="shared" si="16"/>
        <v>aMW_2022</v>
      </c>
      <c r="L43" s="60" t="str">
        <f t="shared" si="16"/>
        <v>aMW_2023</v>
      </c>
      <c r="M43" s="60" t="str">
        <f t="shared" si="16"/>
        <v>aMW_2024</v>
      </c>
      <c r="N43" s="60" t="str">
        <f t="shared" si="16"/>
        <v>aMW_2025</v>
      </c>
      <c r="O43" s="60" t="str">
        <f t="shared" si="16"/>
        <v>aMW_2026</v>
      </c>
      <c r="P43" s="60" t="str">
        <f t="shared" si="16"/>
        <v>aMW_2027</v>
      </c>
      <c r="Q43" s="60" t="str">
        <f t="shared" si="16"/>
        <v>aMW_2028</v>
      </c>
      <c r="R43" s="60" t="str">
        <f t="shared" si="16"/>
        <v>aMW_2029</v>
      </c>
      <c r="S43" s="60" t="str">
        <f t="shared" si="16"/>
        <v>aMW_2030</v>
      </c>
      <c r="T43" s="60" t="str">
        <f t="shared" si="16"/>
        <v>aMW_2031</v>
      </c>
      <c r="U43" s="60" t="str">
        <f t="shared" si="16"/>
        <v>aMW_2032</v>
      </c>
      <c r="V43" s="60" t="str">
        <f t="shared" si="16"/>
        <v>aMW_2033</v>
      </c>
      <c r="W43" s="60" t="str">
        <f t="shared" si="16"/>
        <v>aMW_2034</v>
      </c>
      <c r="X43" s="60" t="str">
        <f t="shared" si="16"/>
        <v>aMW_2035</v>
      </c>
      <c r="Y43" s="61" t="s">
        <v>68</v>
      </c>
      <c r="AA43"/>
      <c r="AB43"/>
      <c r="AC43"/>
      <c r="AD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55">
        <f t="shared" ref="A44:A57" si="17">VLOOKUP($D44,MeasureOutput,3,FALSE)</f>
        <v>94.936534263098281</v>
      </c>
      <c r="B44" s="55">
        <f t="shared" ref="B44:B57" si="18">VLOOKUP($D44,MeasureOutput,11,FALSE)</f>
        <v>-212.78769031163665</v>
      </c>
      <c r="C44" s="7" t="str">
        <f>C13</f>
        <v>Single Family</v>
      </c>
      <c r="D44" s="7" t="s">
        <v>617</v>
      </c>
      <c r="E44" s="26">
        <f ca="1">VLOOKUP($C44,$C$33:$Y$36,E$31,FALSE)*$C$42*$A44/8760/1000*VLOOKUP(RIGHT($D44,4),'Units Per Home'!$A$11:$B$12,2,FALSE)</f>
        <v>5.0976632953107788E-2</v>
      </c>
      <c r="F44" s="26">
        <f ca="1">VLOOKUP($C44,$C$33:$Y$36,F$31,FALSE)*$C$42*$A44/8760/1000*VLOOKUP(RIGHT($D44,4),'Units Per Home'!$A$11:$B$12,2,FALSE)</f>
        <v>9.7522938224346378E-2</v>
      </c>
      <c r="G44" s="26">
        <f ca="1">VLOOKUP($C44,$C$33:$Y$36,G$31,FALSE)*$C$42*$A44/8760/1000*VLOOKUP(RIGHT($D44,4),'Units Per Home'!$A$11:$B$12,2,FALSE)</f>
        <v>0.13865381620296841</v>
      </c>
      <c r="H44" s="26">
        <f ca="1">VLOOKUP($C44,$C$33:$Y$36,H$31,FALSE)*$C$42*$A44/8760/1000*VLOOKUP(RIGHT($D44,4),'Units Per Home'!$A$11:$B$12,2,FALSE)</f>
        <v>0.17885784880848563</v>
      </c>
      <c r="I44" s="26">
        <f ca="1">VLOOKUP($C44,$C$33:$Y$36,I$31,FALSE)*$C$42*$A44/8760/1000*VLOOKUP(RIGHT($D44,4),'Units Per Home'!$A$11:$B$12,2,FALSE)</f>
        <v>0.21756383793214965</v>
      </c>
      <c r="J44" s="26">
        <f ca="1">VLOOKUP($C44,$C$33:$Y$36,J$31,FALSE)*$C$42*$A44/8760/1000*VLOOKUP(RIGHT($D44,4),'Units Per Home'!$A$11:$B$12,2,FALSE)</f>
        <v>0.24460851108586307</v>
      </c>
      <c r="K44" s="26">
        <f ca="1">VLOOKUP($C44,$C$33:$Y$36,K$31,FALSE)*$C$42*$A44/8760/1000*VLOOKUP(RIGHT($D44,4),'Units Per Home'!$A$11:$B$12,2,FALSE)</f>
        <v>0.26681249884228897</v>
      </c>
      <c r="L44" s="26">
        <f ca="1">VLOOKUP($C44,$C$33:$Y$36,L$31,FALSE)*$C$42*$A44/8760/1000*VLOOKUP(RIGHT($D44,4),'Units Per Home'!$A$11:$B$12,2,FALSE)</f>
        <v>0.28863983167629831</v>
      </c>
      <c r="M44" s="26">
        <f ca="1">VLOOKUP($C44,$C$33:$Y$36,M$31,FALSE)*$C$42*$A44/8760/1000*VLOOKUP(RIGHT($D44,4),'Units Per Home'!$A$11:$B$12,2,FALSE)</f>
        <v>0.30395528931780735</v>
      </c>
      <c r="N44" s="26">
        <f ca="1">VLOOKUP($C44,$C$33:$Y$36,N$31,FALSE)*$C$42*$A44/8760/1000*VLOOKUP(RIGHT($D44,4),'Units Per Home'!$A$11:$B$12,2,FALSE)</f>
        <v>0.32425085118376856</v>
      </c>
      <c r="O44" s="26">
        <f ca="1">VLOOKUP($C44,$C$33:$Y$36,O$31,FALSE)*$C$42*$A44/8760/1000*VLOOKUP(RIGHT($D44,4),'Units Per Home'!$A$11:$B$12,2,FALSE)</f>
        <v>0.33851323249982118</v>
      </c>
      <c r="P44" s="26">
        <f ca="1">VLOOKUP($C44,$C$33:$Y$36,P$31,FALSE)*$C$42*$A44/8760/1000*VLOOKUP(RIGHT($D44,4),'Units Per Home'!$A$11:$B$12,2,FALSE)</f>
        <v>0.34364235192368997</v>
      </c>
      <c r="Q44" s="26">
        <f ca="1">VLOOKUP($C44,$C$33:$Y$36,Q$31,FALSE)*$C$42*$A44/8760/1000*VLOOKUP(RIGHT($D44,4),'Units Per Home'!$A$11:$B$12,2,FALSE)</f>
        <v>0.34191793247745245</v>
      </c>
      <c r="R44" s="26">
        <f ca="1">VLOOKUP($C44,$C$33:$Y$36,R$31,FALSE)*$C$42*$A44/8760/1000*VLOOKUP(RIGHT($D44,4),'Units Per Home'!$A$11:$B$12,2,FALSE)</f>
        <v>0.34818120011914799</v>
      </c>
      <c r="S44" s="26">
        <f ca="1">VLOOKUP($C44,$C$33:$Y$36,S$31,FALSE)*$C$42*$A44/8760/1000*VLOOKUP(RIGHT($D44,4),'Units Per Home'!$A$11:$B$12,2,FALSE)</f>
        <v>0.35702639416149234</v>
      </c>
      <c r="T44" s="26">
        <f ca="1">VLOOKUP($C44,$C$33:$Y$36,T$31,FALSE)*$C$42*$A44/8760/1000*VLOOKUP(RIGHT($D44,4),'Units Per Home'!$A$11:$B$12,2,FALSE)</f>
        <v>0.35931345487237387</v>
      </c>
      <c r="U44" s="26">
        <f ca="1">VLOOKUP($C44,$C$33:$Y$36,U$31,FALSE)*$C$42*$A44/8760/1000*VLOOKUP(RIGHT($D44,4),'Units Per Home'!$A$11:$B$12,2,FALSE)</f>
        <v>0.34745212417337484</v>
      </c>
      <c r="V44" s="26">
        <f ca="1">VLOOKUP($C44,$C$33:$Y$36,V$31,FALSE)*$C$42*$A44/8760/1000*VLOOKUP(RIGHT($D44,4),'Units Per Home'!$A$11:$B$12,2,FALSE)</f>
        <v>0.34686649591238256</v>
      </c>
      <c r="W44" s="26">
        <f ca="1">VLOOKUP($C44,$C$33:$Y$36,W$31,FALSE)*$C$42*$A44/8760/1000*VLOOKUP(RIGHT($D44,4),'Units Per Home'!$A$11:$B$12,2,FALSE)</f>
        <v>0.34775045126867421</v>
      </c>
      <c r="X44" s="26">
        <f ca="1">VLOOKUP($C44,$C$33:$Y$36,X$31,FALSE)*$C$42*$A44/8760/1000*VLOOKUP(RIGHT($D44,4),'Units Per Home'!$A$11:$B$12,2,FALSE)</f>
        <v>0.3501122915495713</v>
      </c>
      <c r="Y44" s="26">
        <f ca="1">SUM(E44:X44)</f>
        <v>5.5926179851850648</v>
      </c>
      <c r="AA44" s="32">
        <f ca="1">SUM(E44:X44)</f>
        <v>5.5926179851850648</v>
      </c>
      <c r="AB44"/>
      <c r="AC44"/>
      <c r="AD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55">
        <f t="shared" si="17"/>
        <v>114.9679001881766</v>
      </c>
      <c r="B45" s="55">
        <f t="shared" si="18"/>
        <v>-109.97334429276586</v>
      </c>
      <c r="C45" s="7" t="str">
        <f>C14</f>
        <v>Multifamily - Low Rise</v>
      </c>
      <c r="D45" s="7" t="s">
        <v>618</v>
      </c>
      <c r="E45" s="26">
        <f t="shared" ref="E45:E55" ca="1" si="19">VLOOKUP($C45,$C$33:$Y$36,E$31,FALSE)*$C$42*$A45/8760/1000</f>
        <v>2.0669221070056538E-2</v>
      </c>
      <c r="F45" s="26">
        <f t="shared" ref="F45:U55" ca="1" si="20">VLOOKUP($C45,$C$33:$Y$36,F$31,FALSE)*$C$42*$A45/8760/1000</f>
        <v>4.0871564434462354E-2</v>
      </c>
      <c r="G45" s="26">
        <f t="shared" ca="1" si="20"/>
        <v>6.0759168784525509E-2</v>
      </c>
      <c r="H45" s="26">
        <f t="shared" ca="1" si="20"/>
        <v>7.8435031260872312E-2</v>
      </c>
      <c r="I45" s="26">
        <f t="shared" ca="1" si="20"/>
        <v>9.2414606785381229E-2</v>
      </c>
      <c r="J45" s="26">
        <f t="shared" ca="1" si="20"/>
        <v>0.10513324942293105</v>
      </c>
      <c r="K45" s="26">
        <f t="shared" ca="1" si="20"/>
        <v>0.11689073127666491</v>
      </c>
      <c r="L45" s="26">
        <f t="shared" ca="1" si="20"/>
        <v>0.1294235909018045</v>
      </c>
      <c r="M45" s="26">
        <f t="shared" ca="1" si="20"/>
        <v>0.14106126239651134</v>
      </c>
      <c r="N45" s="26">
        <f t="shared" ca="1" si="20"/>
        <v>0.15187115087548056</v>
      </c>
      <c r="O45" s="26">
        <f t="shared" ca="1" si="20"/>
        <v>0.15810908256486106</v>
      </c>
      <c r="P45" s="26">
        <f t="shared" ca="1" si="20"/>
        <v>0.16263682983590463</v>
      </c>
      <c r="Q45" s="26">
        <f t="shared" ca="1" si="20"/>
        <v>0.16649014463425513</v>
      </c>
      <c r="R45" s="26">
        <f t="shared" ca="1" si="20"/>
        <v>0.16752064549876136</v>
      </c>
      <c r="S45" s="26">
        <f t="shared" ca="1" si="20"/>
        <v>0.16774844523712709</v>
      </c>
      <c r="T45" s="26">
        <f t="shared" ca="1" si="20"/>
        <v>0.16607723102036129</v>
      </c>
      <c r="U45" s="26">
        <f t="shared" ca="1" si="20"/>
        <v>0.16325761627217136</v>
      </c>
      <c r="V45" s="26">
        <f t="shared" ref="V45:X55" ca="1" si="21">VLOOKUP($C45,$C$33:$Y$36,V$31,FALSE)*$C$42*$A45/8760/1000</f>
        <v>0.16119202692274889</v>
      </c>
      <c r="W45" s="26">
        <f t="shared" ca="1" si="21"/>
        <v>0.15808986405132058</v>
      </c>
      <c r="X45" s="26">
        <f t="shared" ca="1" si="21"/>
        <v>0.15749225003720294</v>
      </c>
      <c r="Y45" s="26">
        <f t="shared" ref="Y45:Y56" ca="1" si="22">SUM(E45:X45)</f>
        <v>2.5661437132834046</v>
      </c>
      <c r="AA45" s="32">
        <f t="shared" ref="AA45:AA55" ca="1" si="23">SUM(E45:X45)</f>
        <v>2.5661437132834046</v>
      </c>
      <c r="AB45"/>
      <c r="AC45"/>
      <c r="AD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55">
        <f t="shared" si="17"/>
        <v>114.9679001881766</v>
      </c>
      <c r="B46" s="55">
        <f t="shared" si="18"/>
        <v>-109.97334429276586</v>
      </c>
      <c r="C46" s="7" t="str">
        <f t="shared" ref="C46:C47" si="24">C15</f>
        <v>Multifamily - High Rise</v>
      </c>
      <c r="D46" s="7" t="s">
        <v>618</v>
      </c>
      <c r="E46" s="26">
        <f t="shared" ca="1" si="19"/>
        <v>4.6400632876153706E-3</v>
      </c>
      <c r="F46" s="26">
        <f t="shared" ca="1" si="20"/>
        <v>9.3044789342314315E-3</v>
      </c>
      <c r="G46" s="26">
        <f t="shared" ca="1" si="20"/>
        <v>1.4040108271772839E-2</v>
      </c>
      <c r="H46" s="26">
        <f t="shared" ca="1" si="20"/>
        <v>1.7706665444337889E-2</v>
      </c>
      <c r="I46" s="26">
        <f t="shared" ca="1" si="20"/>
        <v>2.0458455794374653E-2</v>
      </c>
      <c r="J46" s="26">
        <f t="shared" ca="1" si="20"/>
        <v>2.362263356660442E-2</v>
      </c>
      <c r="K46" s="26">
        <f t="shared" ca="1" si="20"/>
        <v>2.6341547117765679E-2</v>
      </c>
      <c r="L46" s="26">
        <f t="shared" ca="1" si="20"/>
        <v>2.9528399049974584E-2</v>
      </c>
      <c r="M46" s="26">
        <f t="shared" ca="1" si="20"/>
        <v>3.1957309467564074E-2</v>
      </c>
      <c r="N46" s="26">
        <f t="shared" ca="1" si="20"/>
        <v>3.4402680786813834E-2</v>
      </c>
      <c r="O46" s="26">
        <f t="shared" ca="1" si="20"/>
        <v>3.5384587026848768E-2</v>
      </c>
      <c r="P46" s="26">
        <f t="shared" ca="1" si="20"/>
        <v>3.632747421318009E-2</v>
      </c>
      <c r="Q46" s="26">
        <f t="shared" ca="1" si="20"/>
        <v>3.6867372454503423E-2</v>
      </c>
      <c r="R46" s="26">
        <f t="shared" ca="1" si="20"/>
        <v>3.7386187906564498E-2</v>
      </c>
      <c r="S46" s="26">
        <f t="shared" ca="1" si="20"/>
        <v>3.7615369438049176E-2</v>
      </c>
      <c r="T46" s="26">
        <f t="shared" ca="1" si="20"/>
        <v>3.7214247237147745E-2</v>
      </c>
      <c r="U46" s="26">
        <f t="shared" ca="1" si="20"/>
        <v>3.6626326233671964E-2</v>
      </c>
      <c r="V46" s="26">
        <f t="shared" ca="1" si="21"/>
        <v>3.5783669716910792E-2</v>
      </c>
      <c r="W46" s="26">
        <f t="shared" ca="1" si="21"/>
        <v>3.5647408004485216E-2</v>
      </c>
      <c r="X46" s="26">
        <f t="shared" ca="1" si="21"/>
        <v>3.5485111200666421E-2</v>
      </c>
      <c r="Y46" s="26">
        <f t="shared" ca="1" si="22"/>
        <v>0.57634009515308282</v>
      </c>
      <c r="AA46" s="32">
        <f t="shared" ca="1" si="23"/>
        <v>0.57634009515308282</v>
      </c>
      <c r="AB46"/>
      <c r="AC46"/>
      <c r="AD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55">
        <f t="shared" si="17"/>
        <v>141.19769879304073</v>
      </c>
      <c r="B47" s="55">
        <f t="shared" si="18"/>
        <v>-126.69575479929152</v>
      </c>
      <c r="C47" s="7" t="str">
        <f t="shared" si="24"/>
        <v>Manufactured</v>
      </c>
      <c r="D47" s="7" t="s">
        <v>619</v>
      </c>
      <c r="E47" s="26">
        <f t="shared" ca="1" si="19"/>
        <v>1.5697473350069322E-3</v>
      </c>
      <c r="F47" s="26">
        <f t="shared" ca="1" si="20"/>
        <v>3.1600166842492665E-3</v>
      </c>
      <c r="G47" s="26">
        <f t="shared" ca="1" si="20"/>
        <v>4.9096408694408776E-3</v>
      </c>
      <c r="H47" s="26">
        <f t="shared" ca="1" si="20"/>
        <v>6.7882099697087559E-3</v>
      </c>
      <c r="I47" s="26">
        <f t="shared" ca="1" si="20"/>
        <v>8.226278494817529E-3</v>
      </c>
      <c r="J47" s="26">
        <f t="shared" ca="1" si="20"/>
        <v>9.5537887909582422E-3</v>
      </c>
      <c r="K47" s="26">
        <f t="shared" ca="1" si="20"/>
        <v>1.0755179757036531E-2</v>
      </c>
      <c r="L47" s="26">
        <f t="shared" ca="1" si="20"/>
        <v>1.1756823883562561E-2</v>
      </c>
      <c r="M47" s="26">
        <f t="shared" ca="1" si="20"/>
        <v>1.2578324030027644E-2</v>
      </c>
      <c r="N47" s="26">
        <f t="shared" ca="1" si="20"/>
        <v>1.3192230226765212E-2</v>
      </c>
      <c r="O47" s="26">
        <f t="shared" ca="1" si="20"/>
        <v>1.3603162497034881E-2</v>
      </c>
      <c r="P47" s="26">
        <f t="shared" ca="1" si="20"/>
        <v>1.3974159834656675E-2</v>
      </c>
      <c r="Q47" s="26">
        <f t="shared" ca="1" si="20"/>
        <v>1.4302703218527347E-2</v>
      </c>
      <c r="R47" s="26">
        <f t="shared" ca="1" si="20"/>
        <v>1.4565783192868734E-2</v>
      </c>
      <c r="S47" s="26">
        <f t="shared" ca="1" si="20"/>
        <v>1.4768882507538441E-2</v>
      </c>
      <c r="T47" s="26">
        <f t="shared" ca="1" si="20"/>
        <v>1.4919817051346722E-2</v>
      </c>
      <c r="U47" s="26">
        <f t="shared" ca="1" si="20"/>
        <v>1.4910746991444335E-2</v>
      </c>
      <c r="V47" s="26">
        <f t="shared" ca="1" si="21"/>
        <v>1.4912773033863383E-2</v>
      </c>
      <c r="W47" s="26">
        <f t="shared" ca="1" si="21"/>
        <v>1.4917433937342362E-2</v>
      </c>
      <c r="X47" s="26">
        <f t="shared" ca="1" si="21"/>
        <v>1.4919237430161731E-2</v>
      </c>
      <c r="Y47" s="26">
        <f t="shared" ca="1" si="22"/>
        <v>0.22828493973635819</v>
      </c>
      <c r="AA47" s="32">
        <f t="shared" ca="1" si="23"/>
        <v>0.22828493973635819</v>
      </c>
      <c r="AB47"/>
      <c r="AC47"/>
      <c r="AD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48" s="55">
        <f t="shared" si="17"/>
        <v>56.616194615468245</v>
      </c>
      <c r="B48" s="55">
        <f t="shared" si="18"/>
        <v>-238.38313260787731</v>
      </c>
      <c r="C48" s="7" t="str">
        <f>C44</f>
        <v>Single Family</v>
      </c>
      <c r="D48" s="7" t="s">
        <v>620</v>
      </c>
      <c r="E48" s="26">
        <f ca="1">VLOOKUP($C48,$C$33:$Y$36,E$31,FALSE)*$C$42*$A48/8760/1000*VLOOKUP(RIGHT($D48,4),'Units Per Home'!$A$11:$B$12,2,FALSE)</f>
        <v>3.0400340548730854E-2</v>
      </c>
      <c r="F48" s="26">
        <f ca="1">VLOOKUP($C48,$C$33:$Y$36,F$31,FALSE)*$C$42*$A48/8760/1000*VLOOKUP(RIGHT($D48,4),'Units Per Home'!$A$11:$B$12,2,FALSE)</f>
        <v>5.8158618205720991E-2</v>
      </c>
      <c r="G48" s="26">
        <f ca="1">VLOOKUP($C48,$C$33:$Y$36,G$31,FALSE)*$C$42*$A48/8760/1000*VLOOKUP(RIGHT($D48,4),'Units Per Home'!$A$11:$B$12,2,FALSE)</f>
        <v>8.268736059576097E-2</v>
      </c>
      <c r="H48" s="26">
        <f ca="1">VLOOKUP($C48,$C$33:$Y$36,H$31,FALSE)*$C$42*$A48/8760/1000*VLOOKUP(RIGHT($D48,4),'Units Per Home'!$A$11:$B$12,2,FALSE)</f>
        <v>0.10666337101144084</v>
      </c>
      <c r="I48" s="26">
        <f ca="1">VLOOKUP($C48,$C$33:$Y$36,I$31,FALSE)*$C$42*$A48/8760/1000*VLOOKUP(RIGHT($D48,4),'Units Per Home'!$A$11:$B$12,2,FALSE)</f>
        <v>0.12974601069298383</v>
      </c>
      <c r="J48" s="26">
        <f ca="1">VLOOKUP($C48,$C$33:$Y$36,J$31,FALSE)*$C$42*$A48/8760/1000*VLOOKUP(RIGHT($D48,4),'Units Per Home'!$A$11:$B$12,2,FALSE)</f>
        <v>0.14587432726223035</v>
      </c>
      <c r="K48" s="26">
        <f ca="1">VLOOKUP($C48,$C$33:$Y$36,K$31,FALSE)*$C$42*$A48/8760/1000*VLOOKUP(RIGHT($D48,4),'Units Per Home'!$A$11:$B$12,2,FALSE)</f>
        <v>0.15911586069100983</v>
      </c>
      <c r="L48" s="26">
        <f ca="1">VLOOKUP($C48,$C$33:$Y$36,L$31,FALSE)*$C$42*$A48/8760/1000*VLOOKUP(RIGHT($D48,4),'Units Per Home'!$A$11:$B$12,2,FALSE)</f>
        <v>0.17213277281297701</v>
      </c>
      <c r="M48" s="26">
        <f ca="1">VLOOKUP($C48,$C$33:$Y$36,M$31,FALSE)*$C$42*$A48/8760/1000*VLOOKUP(RIGHT($D48,4),'Units Per Home'!$A$11:$B$12,2,FALSE)</f>
        <v>0.18126627381116622</v>
      </c>
      <c r="N48" s="26">
        <f ca="1">VLOOKUP($C48,$C$33:$Y$36,N$31,FALSE)*$C$42*$A48/8760/1000*VLOOKUP(RIGHT($D48,4),'Units Per Home'!$A$11:$B$12,2,FALSE)</f>
        <v>0.19336970153109062</v>
      </c>
      <c r="O48" s="26">
        <f ca="1">VLOOKUP($C48,$C$33:$Y$36,O$31,FALSE)*$C$42*$A48/8760/1000*VLOOKUP(RIGHT($D48,4),'Units Per Home'!$A$11:$B$12,2,FALSE)</f>
        <v>0.2018751916728718</v>
      </c>
      <c r="P48" s="26">
        <f ca="1">VLOOKUP($C48,$C$33:$Y$36,P$31,FALSE)*$C$42*$A48/8760/1000*VLOOKUP(RIGHT($D48,4),'Units Per Home'!$A$11:$B$12,2,FALSE)</f>
        <v>0.20493398485256561</v>
      </c>
      <c r="Q48" s="26">
        <f ca="1">VLOOKUP($C48,$C$33:$Y$36,Q$31,FALSE)*$C$42*$A48/8760/1000*VLOOKUP(RIGHT($D48,4),'Units Per Home'!$A$11:$B$12,2,FALSE)</f>
        <v>0.20390561292257375</v>
      </c>
      <c r="R48" s="26">
        <f ca="1">VLOOKUP($C48,$C$33:$Y$36,R$31,FALSE)*$C$42*$A48/8760/1000*VLOOKUP(RIGHT($D48,4),'Units Per Home'!$A$11:$B$12,2,FALSE)</f>
        <v>0.20764076485837421</v>
      </c>
      <c r="S48" s="26">
        <f ca="1">VLOOKUP($C48,$C$33:$Y$36,S$31,FALSE)*$C$42*$A48/8760/1000*VLOOKUP(RIGHT($D48,4),'Units Per Home'!$A$11:$B$12,2,FALSE)</f>
        <v>0.2129156701537912</v>
      </c>
      <c r="T48" s="26">
        <f ca="1">VLOOKUP($C48,$C$33:$Y$36,T$31,FALSE)*$C$42*$A48/8760/1000*VLOOKUP(RIGHT($D48,4),'Units Per Home'!$A$11:$B$12,2,FALSE)</f>
        <v>0.21427957789815663</v>
      </c>
      <c r="U48" s="26">
        <f ca="1">VLOOKUP($C48,$C$33:$Y$36,U$31,FALSE)*$C$42*$A48/8760/1000*VLOOKUP(RIGHT($D48,4),'Units Per Home'!$A$11:$B$12,2,FALSE)</f>
        <v>0.20720597433272733</v>
      </c>
      <c r="V48" s="26">
        <f ca="1">VLOOKUP($C48,$C$33:$Y$36,V$31,FALSE)*$C$42*$A48/8760/1000*VLOOKUP(RIGHT($D48,4),'Units Per Home'!$A$11:$B$12,2,FALSE)</f>
        <v>0.20685673003121563</v>
      </c>
      <c r="W48" s="26">
        <f ca="1">VLOOKUP($C48,$C$33:$Y$36,W$31,FALSE)*$C$42*$A48/8760/1000*VLOOKUP(RIGHT($D48,4),'Units Per Home'!$A$11:$B$12,2,FALSE)</f>
        <v>0.20738388418605869</v>
      </c>
      <c r="X48" s="26">
        <f ca="1">VLOOKUP($C48,$C$33:$Y$36,X$31,FALSE)*$C$42*$A48/8760/1000*VLOOKUP(RIGHT($D48,4),'Units Per Home'!$A$11:$B$12,2,FALSE)</f>
        <v>0.20879238735116629</v>
      </c>
      <c r="Y48" s="26">
        <f t="shared" ca="1" si="22"/>
        <v>3.3352044154226128</v>
      </c>
      <c r="AA48" s="32">
        <f t="shared" ca="1" si="23"/>
        <v>3.3352044154226128</v>
      </c>
      <c r="AB48"/>
      <c r="AC48"/>
      <c r="AD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A49" s="55">
        <f t="shared" si="17"/>
        <v>68.562066880880366</v>
      </c>
      <c r="B49" s="55">
        <f t="shared" si="18"/>
        <v>-134.16702760464855</v>
      </c>
      <c r="C49" s="7" t="str">
        <f t="shared" ref="C49:C51" si="25">C45</f>
        <v>Multifamily - Low Rise</v>
      </c>
      <c r="D49" s="7" t="s">
        <v>621</v>
      </c>
      <c r="E49" s="26">
        <f t="shared" ca="1" si="19"/>
        <v>1.2326262505111459E-2</v>
      </c>
      <c r="F49" s="26">
        <f t="shared" ca="1" si="20"/>
        <v>2.4374098593565544E-2</v>
      </c>
      <c r="G49" s="26">
        <f t="shared" ca="1" si="20"/>
        <v>3.6234237443781271E-2</v>
      </c>
      <c r="H49" s="26">
        <f t="shared" ca="1" si="20"/>
        <v>4.6775385566839404E-2</v>
      </c>
      <c r="I49" s="26">
        <f t="shared" ca="1" si="20"/>
        <v>5.5112222114335717E-2</v>
      </c>
      <c r="J49" s="26">
        <f t="shared" ca="1" si="20"/>
        <v>6.2697090810053507E-2</v>
      </c>
      <c r="K49" s="26">
        <f t="shared" ca="1" si="20"/>
        <v>6.9708763249812816E-2</v>
      </c>
      <c r="L49" s="26">
        <f t="shared" ca="1" si="20"/>
        <v>7.7182838695402919E-2</v>
      </c>
      <c r="M49" s="26">
        <f t="shared" ca="1" si="20"/>
        <v>8.4123061227534254E-2</v>
      </c>
      <c r="N49" s="26">
        <f t="shared" ca="1" si="20"/>
        <v>9.0569628448966072E-2</v>
      </c>
      <c r="O49" s="26">
        <f t="shared" ca="1" si="20"/>
        <v>9.4289671078131645E-2</v>
      </c>
      <c r="P49" s="26">
        <f t="shared" ca="1" si="20"/>
        <v>9.6989830955009501E-2</v>
      </c>
      <c r="Q49" s="26">
        <f t="shared" ca="1" si="20"/>
        <v>9.9287787397504934E-2</v>
      </c>
      <c r="R49" s="26">
        <f t="shared" ca="1" si="20"/>
        <v>9.9902335189344535E-2</v>
      </c>
      <c r="S49" s="26">
        <f t="shared" ca="1" si="20"/>
        <v>0.1000381854646972</v>
      </c>
      <c r="T49" s="26">
        <f t="shared" ca="1" si="20"/>
        <v>9.9041542917389369E-2</v>
      </c>
      <c r="U49" s="26">
        <f t="shared" ca="1" si="20"/>
        <v>9.736004212780118E-2</v>
      </c>
      <c r="V49" s="26">
        <f t="shared" ca="1" si="21"/>
        <v>9.6128210678398912E-2</v>
      </c>
      <c r="W49" s="26">
        <f t="shared" ca="1" si="21"/>
        <v>9.4278209957170414E-2</v>
      </c>
      <c r="X49" s="26">
        <f t="shared" ca="1" si="21"/>
        <v>9.3921817851740794E-2</v>
      </c>
      <c r="Y49" s="26">
        <f t="shared" ca="1" si="22"/>
        <v>1.5303412222725914</v>
      </c>
      <c r="AA49" s="32">
        <f t="shared" ca="1" si="23"/>
        <v>1.5303412222725914</v>
      </c>
      <c r="AB49"/>
      <c r="AC49"/>
      <c r="AD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50" s="55">
        <f t="shared" si="17"/>
        <v>68.562066880880366</v>
      </c>
      <c r="B50" s="55">
        <f t="shared" si="18"/>
        <v>-134.16702760464855</v>
      </c>
      <c r="C50" s="7" t="str">
        <f t="shared" si="25"/>
        <v>Multifamily - High Rise</v>
      </c>
      <c r="D50" s="7" t="s">
        <v>621</v>
      </c>
      <c r="E50" s="26">
        <f t="shared" ca="1" si="19"/>
        <v>2.7671404708296101E-3</v>
      </c>
      <c r="F50" s="26">
        <f t="shared" ca="1" si="20"/>
        <v>5.5488036742113488E-3</v>
      </c>
      <c r="G50" s="26">
        <f t="shared" ca="1" si="20"/>
        <v>8.3729357565764054E-3</v>
      </c>
      <c r="H50" s="26">
        <f t="shared" ca="1" si="20"/>
        <v>1.0559517730123048E-2</v>
      </c>
      <c r="I50" s="26">
        <f t="shared" ca="1" si="20"/>
        <v>1.2200570873762044E-2</v>
      </c>
      <c r="J50" s="26">
        <f t="shared" ca="1" si="20"/>
        <v>1.4087554698703843E-2</v>
      </c>
      <c r="K50" s="26">
        <f t="shared" ca="1" si="20"/>
        <v>1.5709001488920345E-2</v>
      </c>
      <c r="L50" s="26">
        <f t="shared" ca="1" si="20"/>
        <v>1.7609507238420329E-2</v>
      </c>
      <c r="M50" s="26">
        <f t="shared" ca="1" si="20"/>
        <v>1.9058008239359405E-2</v>
      </c>
      <c r="N50" s="26">
        <f t="shared" ca="1" si="20"/>
        <v>2.0516325836397942E-2</v>
      </c>
      <c r="O50" s="26">
        <f t="shared" ca="1" si="20"/>
        <v>2.1101893818328894E-2</v>
      </c>
      <c r="P50" s="26">
        <f t="shared" ca="1" si="20"/>
        <v>2.1664192461902983E-2</v>
      </c>
      <c r="Q50" s="26">
        <f t="shared" ca="1" si="20"/>
        <v>2.198616528448992E-2</v>
      </c>
      <c r="R50" s="26">
        <f t="shared" ca="1" si="20"/>
        <v>2.2295565209728391E-2</v>
      </c>
      <c r="S50" s="26">
        <f t="shared" ca="1" si="20"/>
        <v>2.2432239528940932E-2</v>
      </c>
      <c r="T50" s="26">
        <f t="shared" ca="1" si="20"/>
        <v>2.2193026956382894E-2</v>
      </c>
      <c r="U50" s="26">
        <f t="shared" ca="1" si="20"/>
        <v>2.1842415358754304E-2</v>
      </c>
      <c r="V50" s="26">
        <f t="shared" ca="1" si="21"/>
        <v>2.1339890111574646E-2</v>
      </c>
      <c r="W50" s="26">
        <f t="shared" ca="1" si="21"/>
        <v>2.125862930203273E-2</v>
      </c>
      <c r="X50" s="26">
        <f t="shared" ca="1" si="21"/>
        <v>2.1161842248431127E-2</v>
      </c>
      <c r="Y50" s="26">
        <f t="shared" ca="1" si="22"/>
        <v>0.3437052262878712</v>
      </c>
      <c r="AA50" s="32">
        <f t="shared" ca="1" si="23"/>
        <v>0.3437052262878712</v>
      </c>
      <c r="AB50"/>
      <c r="AC50"/>
      <c r="AD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51" s="55">
        <f t="shared" si="17"/>
        <v>84.141098214387171</v>
      </c>
      <c r="B51" s="55">
        <f t="shared" si="18"/>
        <v>-143.66876563424663</v>
      </c>
      <c r="C51" s="7" t="str">
        <f t="shared" si="25"/>
        <v>Manufactured</v>
      </c>
      <c r="D51" s="7" t="s">
        <v>622</v>
      </c>
      <c r="E51" s="26">
        <f t="shared" ca="1" si="19"/>
        <v>9.3542788455912643E-4</v>
      </c>
      <c r="F51" s="26">
        <f t="shared" ca="1" si="20"/>
        <v>1.8830850393549367E-3</v>
      </c>
      <c r="G51" s="26">
        <f t="shared" ca="1" si="20"/>
        <v>2.9257033090779728E-3</v>
      </c>
      <c r="H51" s="26">
        <f t="shared" ca="1" si="20"/>
        <v>4.0451611226209163E-3</v>
      </c>
      <c r="I51" s="26">
        <f t="shared" ca="1" si="20"/>
        <v>4.9021203085319546E-3</v>
      </c>
      <c r="J51" s="26">
        <f t="shared" ca="1" si="20"/>
        <v>5.6931967578153558E-3</v>
      </c>
      <c r="K51" s="26">
        <f t="shared" ca="1" si="20"/>
        <v>6.4091174571947228E-3</v>
      </c>
      <c r="L51" s="26">
        <f t="shared" ca="1" si="20"/>
        <v>7.0060070492087003E-3</v>
      </c>
      <c r="M51" s="26">
        <f t="shared" ca="1" si="20"/>
        <v>7.4955470707367194E-3</v>
      </c>
      <c r="N51" s="26">
        <f t="shared" ca="1" si="20"/>
        <v>7.8613798147237814E-3</v>
      </c>
      <c r="O51" s="26">
        <f t="shared" ca="1" si="20"/>
        <v>8.1062583984951881E-3</v>
      </c>
      <c r="P51" s="26">
        <f t="shared" ca="1" si="20"/>
        <v>8.3273393629085396E-3</v>
      </c>
      <c r="Q51" s="26">
        <f t="shared" ca="1" si="20"/>
        <v>8.5231215984991372E-3</v>
      </c>
      <c r="R51" s="26">
        <f t="shared" ca="1" si="20"/>
        <v>8.6798935441364574E-3</v>
      </c>
      <c r="S51" s="26">
        <f t="shared" ca="1" si="20"/>
        <v>8.8009224244154933E-3</v>
      </c>
      <c r="T51" s="26">
        <f t="shared" ca="1" si="20"/>
        <v>8.8908658043931749E-3</v>
      </c>
      <c r="U51" s="26">
        <f t="shared" ca="1" si="20"/>
        <v>8.8854608664403565E-3</v>
      </c>
      <c r="V51" s="26">
        <f t="shared" ca="1" si="21"/>
        <v>8.8866682050558199E-3</v>
      </c>
      <c r="W51" s="26">
        <f t="shared" ca="1" si="21"/>
        <v>8.8894456833061367E-3</v>
      </c>
      <c r="X51" s="26">
        <f t="shared" ca="1" si="21"/>
        <v>8.8905204024250784E-3</v>
      </c>
      <c r="Y51" s="26">
        <f t="shared" ca="1" si="22"/>
        <v>0.13603724210389956</v>
      </c>
      <c r="AA51" s="32">
        <f t="shared" ca="1" si="23"/>
        <v>0.13603724210389956</v>
      </c>
      <c r="AB51"/>
      <c r="AC51"/>
      <c r="AD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c r="A52" s="55">
        <f t="shared" si="17"/>
        <v>58.930558362050633</v>
      </c>
      <c r="B52" s="55">
        <f t="shared" si="18"/>
        <v>-230.16854242343911</v>
      </c>
      <c r="C52" s="7" t="str">
        <f>C44</f>
        <v>Single Family</v>
      </c>
      <c r="D52" s="7" t="s">
        <v>623</v>
      </c>
      <c r="E52" s="26">
        <f ca="1">VLOOKUP($C52,$C$33:$Y$36,E$31,FALSE)*$C$42*$A52/8760/1000*VLOOKUP(RIGHT($D52,4),'Units Per Home'!$A$11:$B$12,2,FALSE)</f>
        <v>3.1643049397808438E-2</v>
      </c>
      <c r="F52" s="26">
        <f ca="1">VLOOKUP($C52,$C$33:$Y$36,F$31,FALSE)*$C$42*$A52/8760/1000*VLOOKUP(RIGHT($D52,4),'Units Per Home'!$A$11:$B$12,2,FALSE)</f>
        <v>6.0536033332979855E-2</v>
      </c>
      <c r="G52" s="26">
        <f ca="1">VLOOKUP($C52,$C$33:$Y$36,G$31,FALSE)*$C$42*$A52/8760/1000*VLOOKUP(RIGHT($D52,4),'Units Per Home'!$A$11:$B$12,2,FALSE)</f>
        <v>8.606746466250674E-2</v>
      </c>
      <c r="H52" s="26">
        <f ca="1">VLOOKUP($C52,$C$33:$Y$36,H$31,FALSE)*$C$42*$A52/8760/1000*VLOOKUP(RIGHT($D52,4),'Units Per Home'!$A$11:$B$12,2,FALSE)</f>
        <v>0.1110235693722417</v>
      </c>
      <c r="I52" s="26">
        <f ca="1">VLOOKUP($C52,$C$33:$Y$36,I$31,FALSE)*$C$42*$A52/8760/1000*VLOOKUP(RIGHT($D52,4),'Units Per Home'!$A$11:$B$12,2,FALSE)</f>
        <v>0.13504978402941173</v>
      </c>
      <c r="J52" s="26">
        <f ca="1">VLOOKUP($C52,$C$33:$Y$36,J$31,FALSE)*$C$42*$A52/8760/1000*VLOOKUP(RIGHT($D52,4),'Units Per Home'!$A$11:$B$12,2,FALSE)</f>
        <v>0.1518373959012618</v>
      </c>
      <c r="K52" s="26">
        <f ca="1">VLOOKUP($C52,$C$33:$Y$36,K$31,FALSE)*$C$42*$A52/8760/1000*VLOOKUP(RIGHT($D52,4),'Units Per Home'!$A$11:$B$12,2,FALSE)</f>
        <v>0.16562021835741003</v>
      </c>
      <c r="L52" s="26">
        <f ca="1">VLOOKUP($C52,$C$33:$Y$36,L$31,FALSE)*$C$42*$A52/8760/1000*VLOOKUP(RIGHT($D52,4),'Units Per Home'!$A$11:$B$12,2,FALSE)</f>
        <v>0.17916923740941976</v>
      </c>
      <c r="M52" s="26">
        <f ca="1">VLOOKUP($C52,$C$33:$Y$36,M$31,FALSE)*$C$42*$A52/8760/1000*VLOOKUP(RIGHT($D52,4),'Units Per Home'!$A$11:$B$12,2,FALSE)</f>
        <v>0.18867609878149411</v>
      </c>
      <c r="N52" s="26">
        <f ca="1">VLOOKUP($C52,$C$33:$Y$36,N$31,FALSE)*$C$42*$A52/8760/1000*VLOOKUP(RIGHT($D52,4),'Units Per Home'!$A$11:$B$12,2,FALSE)</f>
        <v>0.20127429190404977</v>
      </c>
      <c r="O52" s="26">
        <f ca="1">VLOOKUP($C52,$C$33:$Y$36,O$31,FALSE)*$C$42*$A52/8760/1000*VLOOKUP(RIGHT($D52,4),'Units Per Home'!$A$11:$B$12,2,FALSE)</f>
        <v>0.2101274705149121</v>
      </c>
      <c r="P52" s="26">
        <f ca="1">VLOOKUP($C52,$C$33:$Y$36,P$31,FALSE)*$C$42*$A52/8760/1000*VLOOKUP(RIGHT($D52,4),'Units Per Home'!$A$11:$B$12,2,FALSE)</f>
        <v>0.21331130141731861</v>
      </c>
      <c r="Q52" s="26">
        <f ca="1">VLOOKUP($C52,$C$33:$Y$36,Q$31,FALSE)*$C$42*$A52/8760/1000*VLOOKUP(RIGHT($D52,4),'Units Per Home'!$A$11:$B$12,2,FALSE)</f>
        <v>0.21224089157345885</v>
      </c>
      <c r="R52" s="26">
        <f ca="1">VLOOKUP($C52,$C$33:$Y$36,R$31,FALSE)*$C$42*$A52/8760/1000*VLOOKUP(RIGHT($D52,4),'Units Per Home'!$A$11:$B$12,2,FALSE)</f>
        <v>0.2161287295081489</v>
      </c>
      <c r="S52" s="26">
        <f ca="1">VLOOKUP($C52,$C$33:$Y$36,S$31,FALSE)*$C$42*$A52/8760/1000*VLOOKUP(RIGHT($D52,4),'Units Per Home'!$A$11:$B$12,2,FALSE)</f>
        <v>0.22161926302911661</v>
      </c>
      <c r="T52" s="26">
        <f ca="1">VLOOKUP($C52,$C$33:$Y$36,T$31,FALSE)*$C$42*$A52/8760/1000*VLOOKUP(RIGHT($D52,4),'Units Per Home'!$A$11:$B$12,2,FALSE)</f>
        <v>0.22303892476151826</v>
      </c>
      <c r="U52" s="26">
        <f ca="1">VLOOKUP($C52,$C$33:$Y$36,U$31,FALSE)*$C$42*$A52/8760/1000*VLOOKUP(RIGHT($D52,4),'Units Per Home'!$A$11:$B$12,2,FALSE)</f>
        <v>0.21567616556207439</v>
      </c>
      <c r="V52" s="26">
        <f ca="1">VLOOKUP($C52,$C$33:$Y$36,V$31,FALSE)*$C$42*$A52/8760/1000*VLOOKUP(RIGHT($D52,4),'Units Per Home'!$A$11:$B$12,2,FALSE)</f>
        <v>0.21531264480917614</v>
      </c>
      <c r="W52" s="26">
        <f ca="1">VLOOKUP($C52,$C$33:$Y$36,W$31,FALSE)*$C$42*$A52/8760/1000*VLOOKUP(RIGHT($D52,4),'Units Per Home'!$A$11:$B$12,2,FALSE)</f>
        <v>0.2158613480362081</v>
      </c>
      <c r="X52" s="26">
        <f ca="1">VLOOKUP($C52,$C$33:$Y$36,X$31,FALSE)*$C$42*$A52/8760/1000*VLOOKUP(RIGHT($D52,4),'Units Per Home'!$A$11:$B$12,2,FALSE)</f>
        <v>0.21732742816642986</v>
      </c>
      <c r="Y52" s="26">
        <f t="shared" ca="1" si="22"/>
        <v>3.4715413105269461</v>
      </c>
      <c r="AA52" s="32">
        <f t="shared" ca="1" si="23"/>
        <v>3.4715413105269461</v>
      </c>
      <c r="AB52"/>
      <c r="AC52"/>
      <c r="AD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c r="A53" s="55">
        <f t="shared" si="17"/>
        <v>71.364755458902735</v>
      </c>
      <c r="B53" s="55">
        <f t="shared" si="18"/>
        <v>-129.37879763441686</v>
      </c>
      <c r="C53" s="7" t="str">
        <f t="shared" ref="C53:C55" si="26">C45</f>
        <v>Multifamily - Low Rise</v>
      </c>
      <c r="D53" s="7" t="s">
        <v>624</v>
      </c>
      <c r="E53" s="26">
        <f t="shared" ca="1" si="19"/>
        <v>1.2830136975418818E-2</v>
      </c>
      <c r="F53" s="26">
        <f t="shared" ca="1" si="20"/>
        <v>2.5370465984975492E-2</v>
      </c>
      <c r="G53" s="26">
        <f t="shared" ca="1" si="20"/>
        <v>3.7715425045570974E-2</v>
      </c>
      <c r="H53" s="26">
        <f t="shared" ca="1" si="20"/>
        <v>4.8687475514310512E-2</v>
      </c>
      <c r="I53" s="26">
        <f t="shared" ca="1" si="20"/>
        <v>5.7365106288578063E-2</v>
      </c>
      <c r="J53" s="26">
        <f t="shared" ca="1" si="20"/>
        <v>6.5260030177004977E-2</v>
      </c>
      <c r="K53" s="26">
        <f t="shared" ca="1" si="20"/>
        <v>7.2558326622628802E-2</v>
      </c>
      <c r="L53" s="26">
        <f t="shared" ca="1" si="20"/>
        <v>8.033792824086225E-2</v>
      </c>
      <c r="M53" s="26">
        <f t="shared" ca="1" si="20"/>
        <v>8.7561854040771853E-2</v>
      </c>
      <c r="N53" s="26">
        <f t="shared" ca="1" si="20"/>
        <v>9.4271944827652054E-2</v>
      </c>
      <c r="O53" s="26">
        <f t="shared" ca="1" si="20"/>
        <v>9.8144055815617734E-2</v>
      </c>
      <c r="P53" s="26">
        <f t="shared" ca="1" si="20"/>
        <v>0.100954593159075</v>
      </c>
      <c r="Q53" s="26">
        <f t="shared" ca="1" si="20"/>
        <v>0.10334648574683518</v>
      </c>
      <c r="R53" s="26">
        <f t="shared" ca="1" si="20"/>
        <v>0.10398615509867432</v>
      </c>
      <c r="S53" s="26">
        <f t="shared" ca="1" si="20"/>
        <v>0.10412755867824275</v>
      </c>
      <c r="T53" s="26">
        <f t="shared" ca="1" si="20"/>
        <v>0.10309017525466344</v>
      </c>
      <c r="U53" s="26">
        <f t="shared" ca="1" si="20"/>
        <v>0.10133993786958866</v>
      </c>
      <c r="V53" s="26">
        <f t="shared" ca="1" si="21"/>
        <v>0.10005775146313288</v>
      </c>
      <c r="W53" s="26">
        <f t="shared" ca="1" si="21"/>
        <v>9.8132126185548327E-2</v>
      </c>
      <c r="X53" s="26">
        <f t="shared" ca="1" si="21"/>
        <v>9.7761165439927036E-2</v>
      </c>
      <c r="Y53" s="26">
        <f t="shared" ca="1" si="22"/>
        <v>1.5928986984290789</v>
      </c>
      <c r="AA53" s="32">
        <f t="shared" ca="1" si="23"/>
        <v>1.5928986984290789</v>
      </c>
      <c r="AB53"/>
      <c r="AC53"/>
      <c r="AD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c r="A54" s="55">
        <f t="shared" si="17"/>
        <v>71.364755458902735</v>
      </c>
      <c r="B54" s="55">
        <f t="shared" si="18"/>
        <v>-129.37879763441686</v>
      </c>
      <c r="C54" s="7" t="str">
        <f t="shared" si="26"/>
        <v>Multifamily - High Rise</v>
      </c>
      <c r="D54" s="7" t="s">
        <v>624</v>
      </c>
      <c r="E54" s="26">
        <f t="shared" ca="1" si="19"/>
        <v>2.8802559783427059E-3</v>
      </c>
      <c r="F54" s="26">
        <f t="shared" ca="1" si="20"/>
        <v>5.7756283512797914E-3</v>
      </c>
      <c r="G54" s="26">
        <f t="shared" ca="1" si="20"/>
        <v>8.7152056512434187E-3</v>
      </c>
      <c r="H54" s="26">
        <f t="shared" ca="1" si="20"/>
        <v>1.0991170990854801E-2</v>
      </c>
      <c r="I54" s="26">
        <f t="shared" ca="1" si="20"/>
        <v>1.269930730614899E-2</v>
      </c>
      <c r="J54" s="26">
        <f t="shared" ca="1" si="20"/>
        <v>1.4663427487295827E-2</v>
      </c>
      <c r="K54" s="26">
        <f t="shared" ca="1" si="20"/>
        <v>1.6351155978247899E-2</v>
      </c>
      <c r="L54" s="26">
        <f t="shared" ca="1" si="20"/>
        <v>1.8329350834843269E-2</v>
      </c>
      <c r="M54" s="26">
        <f t="shared" ca="1" si="20"/>
        <v>1.9837063837334735E-2</v>
      </c>
      <c r="N54" s="26">
        <f t="shared" ca="1" si="20"/>
        <v>2.1354994719944873E-2</v>
      </c>
      <c r="O54" s="26">
        <f t="shared" ca="1" si="20"/>
        <v>2.1964499621651954E-2</v>
      </c>
      <c r="P54" s="26">
        <f t="shared" ca="1" si="20"/>
        <v>2.2549783978135202E-2</v>
      </c>
      <c r="Q54" s="26">
        <f t="shared" ca="1" si="20"/>
        <v>2.2884918445248783E-2</v>
      </c>
      <c r="R54" s="26">
        <f t="shared" ca="1" si="20"/>
        <v>2.3206966058574217E-2</v>
      </c>
      <c r="S54" s="26">
        <f t="shared" ca="1" si="20"/>
        <v>2.33492273673685E-2</v>
      </c>
      <c r="T54" s="26">
        <f t="shared" ca="1" si="20"/>
        <v>2.3100236233933751E-2</v>
      </c>
      <c r="U54" s="26">
        <f t="shared" ca="1" si="20"/>
        <v>2.2735292292420269E-2</v>
      </c>
      <c r="V54" s="26">
        <f t="shared" ca="1" si="21"/>
        <v>2.2212224756559533E-2</v>
      </c>
      <c r="W54" s="26">
        <f t="shared" ca="1" si="21"/>
        <v>2.2127642157679796E-2</v>
      </c>
      <c r="X54" s="26">
        <f t="shared" ca="1" si="21"/>
        <v>2.2026898631031647E-2</v>
      </c>
      <c r="Y54" s="26">
        <f t="shared" ca="1" si="22"/>
        <v>0.35775525067813996</v>
      </c>
      <c r="AA54" s="32">
        <f t="shared" ca="1" si="23"/>
        <v>0.35775525067813996</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A55" s="55">
        <f t="shared" si="17"/>
        <v>87.580628345785399</v>
      </c>
      <c r="B55" s="55">
        <f t="shared" si="18"/>
        <v>-138.56814270757619</v>
      </c>
      <c r="C55" s="7" t="str">
        <f t="shared" si="26"/>
        <v>Manufactured</v>
      </c>
      <c r="D55" s="7" t="s">
        <v>625</v>
      </c>
      <c r="E55" s="26">
        <f t="shared" ca="1" si="19"/>
        <v>9.7366642033974303E-4</v>
      </c>
      <c r="F55" s="26">
        <f t="shared" ca="1" si="20"/>
        <v>1.9600620205246339E-3</v>
      </c>
      <c r="G55" s="26">
        <f t="shared" ca="1" si="20"/>
        <v>3.0453005677382426E-3</v>
      </c>
      <c r="H55" s="26">
        <f t="shared" ca="1" si="20"/>
        <v>4.2105197150671967E-3</v>
      </c>
      <c r="I55" s="26">
        <f t="shared" ca="1" si="20"/>
        <v>5.1025097836725564E-3</v>
      </c>
      <c r="J55" s="26">
        <f t="shared" ca="1" si="20"/>
        <v>5.9259239530629268E-3</v>
      </c>
      <c r="K55" s="26">
        <f t="shared" ca="1" si="20"/>
        <v>6.6711101465880066E-3</v>
      </c>
      <c r="L55" s="26">
        <f t="shared" ca="1" si="20"/>
        <v>7.2923994645435102E-3</v>
      </c>
      <c r="M55" s="26">
        <f t="shared" ca="1" si="20"/>
        <v>7.8019509631059823E-3</v>
      </c>
      <c r="N55" s="26">
        <f t="shared" ca="1" si="20"/>
        <v>8.1827382628654154E-3</v>
      </c>
      <c r="O55" s="26">
        <f t="shared" ca="1" si="20"/>
        <v>8.4376270234147593E-3</v>
      </c>
      <c r="P55" s="26">
        <f t="shared" ca="1" si="20"/>
        <v>8.6677453626035246E-3</v>
      </c>
      <c r="Q55" s="26">
        <f t="shared" ca="1" si="20"/>
        <v>8.8715308084302263E-3</v>
      </c>
      <c r="R55" s="26">
        <f t="shared" ca="1" si="20"/>
        <v>9.034711296886936E-3</v>
      </c>
      <c r="S55" s="26">
        <f t="shared" ca="1" si="20"/>
        <v>9.1606876105763211E-3</v>
      </c>
      <c r="T55" s="26">
        <f t="shared" ca="1" si="20"/>
        <v>9.2543077070708774E-3</v>
      </c>
      <c r="U55" s="26">
        <f t="shared" ca="1" si="20"/>
        <v>9.2486818254015942E-3</v>
      </c>
      <c r="V55" s="26">
        <f t="shared" ca="1" si="21"/>
        <v>9.249938517753041E-3</v>
      </c>
      <c r="W55" s="26">
        <f t="shared" ca="1" si="21"/>
        <v>9.2528295340998899E-3</v>
      </c>
      <c r="X55" s="26">
        <f t="shared" ca="1" si="21"/>
        <v>9.2539481857187716E-3</v>
      </c>
      <c r="Y55" s="26">
        <f t="shared" ca="1" si="22"/>
        <v>0.14159818916946415</v>
      </c>
      <c r="AA55" s="32">
        <f t="shared" ca="1" si="23"/>
        <v>0.14159818916946415</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A56" s="55">
        <f t="shared" si="17"/>
        <v>186.98267334641028</v>
      </c>
      <c r="B56" s="55">
        <f t="shared" si="18"/>
        <v>-231.84961524302932</v>
      </c>
      <c r="C56" s="7" t="str">
        <f>C48</f>
        <v>Single Family</v>
      </c>
      <c r="D56" s="7" t="s">
        <v>614</v>
      </c>
      <c r="E56" s="26">
        <f ca="1">VLOOKUP($C56,$C$33:$Y$36,E$31,FALSE)*$C$42*$A56/8760/1000*VLOOKUP(RIGHT($D56,4),'Units Per Home'!$A$11:$B$12,2,FALSE)</f>
        <v>1.369108011581823E-2</v>
      </c>
      <c r="F56" s="26">
        <f ca="1">VLOOKUP($C56,$C$33:$Y$36,F$31,FALSE)*$C$42*$A56/8760/1000*VLOOKUP(RIGHT($D56,4),'Units Per Home'!$A$11:$B$12,2,FALSE)</f>
        <v>2.6192282287214461E-2</v>
      </c>
      <c r="G56" s="26">
        <f ca="1">VLOOKUP($C56,$C$33:$Y$36,G$31,FALSE)*$C$42*$A56/8760/1000*VLOOKUP(RIGHT($D56,4),'Units Per Home'!$A$11:$B$12,2,FALSE)</f>
        <v>3.7239032788709228E-2</v>
      </c>
      <c r="H56" s="26">
        <f ca="1">VLOOKUP($C56,$C$33:$Y$36,H$31,FALSE)*$C$42*$A56/8760/1000*VLOOKUP(RIGHT($D56,4),'Units Per Home'!$A$11:$B$12,2,FALSE)</f>
        <v>4.8036855231934121E-2</v>
      </c>
      <c r="I56" s="26">
        <f ca="1">VLOOKUP($C56,$C$33:$Y$36,I$31,FALSE)*$C$42*$A56/8760/1000*VLOOKUP(RIGHT($D56,4),'Units Per Home'!$A$11:$B$12,2,FALSE)</f>
        <v>5.8432339738365528E-2</v>
      </c>
      <c r="J56" s="26">
        <f ca="1">VLOOKUP($C56,$C$33:$Y$36,J$31,FALSE)*$C$42*$A56/8760/1000*VLOOKUP(RIGHT($D56,4),'Units Per Home'!$A$11:$B$12,2,FALSE)</f>
        <v>6.5695879234868013E-2</v>
      </c>
      <c r="K56" s="26">
        <f ca="1">VLOOKUP($C56,$C$33:$Y$36,K$31,FALSE)*$C$42*$A56/8760/1000*VLOOKUP(RIGHT($D56,4),'Units Per Home'!$A$11:$B$12,2,FALSE)</f>
        <v>7.1659328714623063E-2</v>
      </c>
      <c r="L56" s="26">
        <f ca="1">VLOOKUP($C56,$C$33:$Y$36,L$31,FALSE)*$C$42*$A56/8760/1000*VLOOKUP(RIGHT($D56,4),'Units Per Home'!$A$11:$B$12,2,FALSE)</f>
        <v>7.7521617870125889E-2</v>
      </c>
      <c r="M56" s="26">
        <f ca="1">VLOOKUP($C56,$C$33:$Y$36,M$31,FALSE)*$C$42*$A56/8760/1000*VLOOKUP(RIGHT($D56,4),'Units Per Home'!$A$11:$B$12,2,FALSE)</f>
        <v>8.1634976195953432E-2</v>
      </c>
      <c r="N56" s="26">
        <f ca="1">VLOOKUP($C56,$C$33:$Y$36,N$31,FALSE)*$C$42*$A56/8760/1000*VLOOKUP(RIGHT($D56,4),'Units Per Home'!$A$11:$B$12,2,FALSE)</f>
        <v>8.7085869034600194E-2</v>
      </c>
      <c r="O56" s="26">
        <f ca="1">VLOOKUP($C56,$C$33:$Y$36,O$31,FALSE)*$C$42*$A56/8760/1000*VLOOKUP(RIGHT($D56,4),'Units Per Home'!$A$11:$B$12,2,FALSE)</f>
        <v>9.0916396747563258E-2</v>
      </c>
      <c r="P56" s="26">
        <f ca="1">VLOOKUP($C56,$C$33:$Y$36,P$31,FALSE)*$C$42*$A56/8760/1000*VLOOKUP(RIGHT($D56,4),'Units Per Home'!$A$11:$B$12,2,FALSE)</f>
        <v>9.2293953107952617E-2</v>
      </c>
      <c r="Q56" s="26">
        <f ca="1">VLOOKUP($C56,$C$33:$Y$36,Q$31,FALSE)*$C$42*$A56/8760/1000*VLOOKUP(RIGHT($D56,4),'Units Per Home'!$A$11:$B$12,2,FALSE)</f>
        <v>9.18308161092138E-2</v>
      </c>
      <c r="R56" s="26">
        <f ca="1">VLOOKUP($C56,$C$33:$Y$36,R$31,FALSE)*$C$42*$A56/8760/1000*VLOOKUP(RIGHT($D56,4),'Units Per Home'!$A$11:$B$12,2,FALSE)</f>
        <v>9.3512977015136028E-2</v>
      </c>
      <c r="S56" s="26">
        <f ca="1">VLOOKUP($C56,$C$33:$Y$36,S$31,FALSE)*$C$42*$A56/8760/1000*VLOOKUP(RIGHT($D56,4),'Units Per Home'!$A$11:$B$12,2,FALSE)</f>
        <v>9.5888580370208393E-2</v>
      </c>
      <c r="T56" s="26">
        <f ca="1">VLOOKUP($C56,$C$33:$Y$36,T$31,FALSE)*$C$42*$A56/8760/1000*VLOOKUP(RIGHT($D56,4),'Units Per Home'!$A$11:$B$12,2,FALSE)</f>
        <v>9.6502829087875219E-2</v>
      </c>
      <c r="U56" s="26">
        <f ca="1">VLOOKUP($C56,$C$33:$Y$36,U$31,FALSE)*$C$42*$A56/8760/1000*VLOOKUP(RIGHT($D56,4),'Units Per Home'!$A$11:$B$12,2,FALSE)</f>
        <v>9.3317165000771002E-2</v>
      </c>
      <c r="V56" s="26">
        <f ca="1">VLOOKUP($C56,$C$33:$Y$36,V$31,FALSE)*$C$42*$A56/8760/1000*VLOOKUP(RIGHT($D56,4),'Units Per Home'!$A$11:$B$12,2,FALSE)</f>
        <v>9.3159879535355719E-2</v>
      </c>
      <c r="W56" s="26">
        <f ca="1">VLOOKUP($C56,$C$33:$Y$36,W$31,FALSE)*$C$42*$A56/8760/1000*VLOOKUP(RIGHT($D56,4),'Units Per Home'!$A$11:$B$12,2,FALSE)</f>
        <v>9.3397288381344604E-2</v>
      </c>
      <c r="X56" s="26">
        <f ca="1">VLOOKUP($C56,$C$33:$Y$36,X$31,FALSE)*$C$42*$A56/8760/1000*VLOOKUP(RIGHT($D56,4),'Units Per Home'!$A$11:$B$12,2,FALSE)</f>
        <v>9.4031621067386703E-2</v>
      </c>
      <c r="Y56" s="26">
        <f t="shared" ca="1" si="22"/>
        <v>1.5020407676350194</v>
      </c>
      <c r="AA56" s="32"/>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A57" s="55">
        <f t="shared" si="17"/>
        <v>172.41674324464179</v>
      </c>
      <c r="B57" s="55">
        <f t="shared" si="18"/>
        <v>-229.40191815461955</v>
      </c>
      <c r="C57" s="7" t="str">
        <f>C55</f>
        <v>Manufactured</v>
      </c>
      <c r="D57" s="7" t="s">
        <v>615</v>
      </c>
      <c r="E57" s="26">
        <f ca="1">VLOOKUP($C57,$C$33:$Y$36,E$31,FALSE)*$C$42*$A57/8760/1000*VLOOKUP(RIGHT($D57,4),'Units Per Home'!$A$11:$B$12,2,FALSE)</f>
        <v>2.3001852766642164E-4</v>
      </c>
      <c r="F57" s="26">
        <f ca="1">VLOOKUP($C57,$C$33:$Y$36,F$31,FALSE)*$C$42*$A57/8760/1000*VLOOKUP(RIGHT($D57,4),'Units Per Home'!$A$11:$B$12,2,FALSE)</f>
        <v>4.6304419119089246E-4</v>
      </c>
      <c r="G57" s="26">
        <f ca="1">VLOOKUP($C57,$C$33:$Y$36,G$31,FALSE)*$C$42*$A57/8760/1000*VLOOKUP(RIGHT($D57,4),'Units Per Home'!$A$11:$B$12,2,FALSE)</f>
        <v>7.1942046912581254E-4</v>
      </c>
      <c r="H57" s="26">
        <f ca="1">VLOOKUP($C57,$C$33:$Y$36,H$31,FALSE)*$C$42*$A57/8760/1000*VLOOKUP(RIGHT($D57,4),'Units Per Home'!$A$11:$B$12,2,FALSE)</f>
        <v>9.9469132891761691E-4</v>
      </c>
      <c r="I57" s="26">
        <f ca="1">VLOOKUP($C57,$C$33:$Y$36,I$31,FALSE)*$C$42*$A57/8760/1000*VLOOKUP(RIGHT($D57,4),'Units Per Home'!$A$11:$B$12,2,FALSE)</f>
        <v>1.2054146711091688E-3</v>
      </c>
      <c r="J57" s="26">
        <f ca="1">VLOOKUP($C57,$C$33:$Y$36,J$31,FALSE)*$C$42*$A57/8760/1000*VLOOKUP(RIGHT($D57,4),'Units Per Home'!$A$11:$B$12,2,FALSE)</f>
        <v>1.3999376729774621E-3</v>
      </c>
      <c r="K57" s="26">
        <f ca="1">VLOOKUP($C57,$C$33:$Y$36,K$31,FALSE)*$C$42*$A57/8760/1000*VLOOKUP(RIGHT($D57,4),'Units Per Home'!$A$11:$B$12,2,FALSE)</f>
        <v>1.5759801321722396E-3</v>
      </c>
      <c r="L57" s="26">
        <f ca="1">VLOOKUP($C57,$C$33:$Y$36,L$31,FALSE)*$C$42*$A57/8760/1000*VLOOKUP(RIGHT($D57,4),'Units Per Home'!$A$11:$B$12,2,FALSE)</f>
        <v>1.7227532478776525E-3</v>
      </c>
      <c r="M57" s="26">
        <f ca="1">VLOOKUP($C57,$C$33:$Y$36,M$31,FALSE)*$C$42*$A57/8760/1000*VLOOKUP(RIGHT($D57,4),'Units Per Home'!$A$11:$B$12,2,FALSE)</f>
        <v>1.8431294701865843E-3</v>
      </c>
      <c r="N57" s="26">
        <f ca="1">VLOOKUP($C57,$C$33:$Y$36,N$31,FALSE)*$C$42*$A57/8760/1000*VLOOKUP(RIGHT($D57,4),'Units Per Home'!$A$11:$B$12,2,FALSE)</f>
        <v>1.9330864947024085E-3</v>
      </c>
      <c r="O57" s="26">
        <f ca="1">VLOOKUP($C57,$C$33:$Y$36,O$31,FALSE)*$C$42*$A57/8760/1000*VLOOKUP(RIGHT($D57,4),'Units Per Home'!$A$11:$B$12,2,FALSE)</f>
        <v>1.9933013035892361E-3</v>
      </c>
      <c r="P57" s="26">
        <f ca="1">VLOOKUP($C57,$C$33:$Y$36,P$31,FALSE)*$C$42*$A57/8760/1000*VLOOKUP(RIGHT($D57,4),'Units Per Home'!$A$11:$B$12,2,FALSE)</f>
        <v>2.0476643590089483E-3</v>
      </c>
      <c r="Q57" s="26">
        <f ca="1">VLOOKUP($C57,$C$33:$Y$36,Q$31,FALSE)*$C$42*$A57/8760/1000*VLOOKUP(RIGHT($D57,4),'Units Per Home'!$A$11:$B$12,2,FALSE)</f>
        <v>2.0958065432618951E-3</v>
      </c>
      <c r="R57" s="26">
        <f ca="1">VLOOKUP($C57,$C$33:$Y$36,R$31,FALSE)*$C$42*$A57/8760/1000*VLOOKUP(RIGHT($D57,4),'Units Per Home'!$A$11:$B$12,2,FALSE)</f>
        <v>2.1343562302127942E-3</v>
      </c>
      <c r="S57" s="26">
        <f ca="1">VLOOKUP($C57,$C$33:$Y$36,S$31,FALSE)*$C$42*$A57/8760/1000*VLOOKUP(RIGHT($D57,4),'Units Per Home'!$A$11:$B$12,2,FALSE)</f>
        <v>2.1641168192506337E-3</v>
      </c>
      <c r="T57" s="26">
        <f ca="1">VLOOKUP($C57,$C$33:$Y$36,T$31,FALSE)*$C$42*$A57/8760/1000*VLOOKUP(RIGHT($D57,4),'Units Per Home'!$A$11:$B$12,2,FALSE)</f>
        <v>2.1862335897439127E-3</v>
      </c>
      <c r="U57" s="26">
        <f ca="1">VLOOKUP($C57,$C$33:$Y$36,U$31,FALSE)*$C$42*$A57/8760/1000*VLOOKUP(RIGHT($D57,4),'Units Per Home'!$A$11:$B$12,2,FALSE)</f>
        <v>2.1849045339283257E-3</v>
      </c>
      <c r="V57" s="26">
        <f ca="1">VLOOKUP($C57,$C$33:$Y$36,V$31,FALSE)*$C$42*$A57/8760/1000*VLOOKUP(RIGHT($D57,4),'Units Per Home'!$A$11:$B$12,2,FALSE)</f>
        <v>2.1852014143776987E-3</v>
      </c>
      <c r="W57" s="26">
        <f ca="1">VLOOKUP($C57,$C$33:$Y$36,W$31,FALSE)*$C$42*$A57/8760/1000*VLOOKUP(RIGHT($D57,4),'Units Per Home'!$A$11:$B$12,2,FALSE)</f>
        <v>2.1858843868102179E-3</v>
      </c>
      <c r="X57" s="26">
        <f ca="1">VLOOKUP($C57,$C$33:$Y$36,X$31,FALSE)*$C$42*$A57/8760/1000*VLOOKUP(RIGHT($D57,4),'Units Per Home'!$A$11:$B$12,2,FALSE)</f>
        <v>2.1861486565775347E-3</v>
      </c>
      <c r="Y57" s="26">
        <f t="shared" ref="Y57" ca="1" si="27">SUM(E57:X57)</f>
        <v>3.3451094042687458E-2</v>
      </c>
      <c r="AA57" s="32"/>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AA58" s="32"/>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65">
        <f ca="1">SUMPRODUCT(B44:B55,AA44:AA55)/SUM(AA44:AA55)</f>
        <v>-186.26887618753824</v>
      </c>
      <c r="E59" s="26">
        <f ca="1">SUM(E44:E57)</f>
        <v>0.18653304347041205</v>
      </c>
      <c r="F59" s="26">
        <f t="shared" ref="F59:Y59" ca="1" si="28">SUM(F44:F57)</f>
        <v>0.36112111995830742</v>
      </c>
      <c r="G59" s="26">
        <f t="shared" ca="1" si="28"/>
        <v>0.52208482041879856</v>
      </c>
      <c r="H59" s="26">
        <f t="shared" ca="1" si="28"/>
        <v>0.67377547306775476</v>
      </c>
      <c r="I59" s="26">
        <f t="shared" ca="1" si="28"/>
        <v>0.81047856481362257</v>
      </c>
      <c r="J59" s="26">
        <f t="shared" ca="1" si="28"/>
        <v>0.91605294682163074</v>
      </c>
      <c r="K59" s="26">
        <f t="shared" ca="1" si="28"/>
        <v>1.0061788198323638</v>
      </c>
      <c r="L59" s="26">
        <f t="shared" ca="1" si="28"/>
        <v>1.0976530583753212</v>
      </c>
      <c r="M59" s="26">
        <f t="shared" ca="1" si="28"/>
        <v>1.1688501488495535</v>
      </c>
      <c r="N59" s="26">
        <f t="shared" ca="1" si="28"/>
        <v>1.2501368739478216</v>
      </c>
      <c r="O59" s="26">
        <f t="shared" ca="1" si="28"/>
        <v>1.3025664305831426</v>
      </c>
      <c r="P59" s="26">
        <f t="shared" ca="1" si="28"/>
        <v>1.3283212048239119</v>
      </c>
      <c r="Q59" s="26">
        <f t="shared" ca="1" si="28"/>
        <v>1.3345512892142548</v>
      </c>
      <c r="R59" s="26">
        <f t="shared" ca="1" si="28"/>
        <v>1.3541762707265592</v>
      </c>
      <c r="S59" s="26">
        <f t="shared" ca="1" si="28"/>
        <v>1.3776555427908153</v>
      </c>
      <c r="T59" s="26">
        <f t="shared" ca="1" si="28"/>
        <v>1.3791024703923571</v>
      </c>
      <c r="U59" s="26">
        <f t="shared" ca="1" si="28"/>
        <v>1.3420428534405699</v>
      </c>
      <c r="V59" s="26">
        <f t="shared" ca="1" si="28"/>
        <v>1.3341441051085057</v>
      </c>
      <c r="W59" s="26">
        <f t="shared" ca="1" si="28"/>
        <v>1.329172445072081</v>
      </c>
      <c r="X59" s="26">
        <f t="shared" ca="1" si="28"/>
        <v>1.3333626682184372</v>
      </c>
      <c r="Y59" s="26">
        <f t="shared" ca="1" si="28"/>
        <v>21.407960149926218</v>
      </c>
      <c r="AA59" s="26">
        <f ca="1">SUM(E59:X59)</f>
        <v>21.407960149926229</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ht="15">
      <c r="A62" s="53" t="s">
        <v>76</v>
      </c>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ht="15">
      <c r="E63" s="56">
        <f t="shared" ref="E63:X63" si="29">E11</f>
        <v>2016</v>
      </c>
      <c r="F63" s="57">
        <f t="shared" si="29"/>
        <v>2017</v>
      </c>
      <c r="G63" s="57">
        <f t="shared" si="29"/>
        <v>2018</v>
      </c>
      <c r="H63" s="57">
        <f t="shared" si="29"/>
        <v>2019</v>
      </c>
      <c r="I63" s="57">
        <f t="shared" si="29"/>
        <v>2020</v>
      </c>
      <c r="J63" s="57">
        <f t="shared" si="29"/>
        <v>2021</v>
      </c>
      <c r="K63" s="57">
        <f t="shared" si="29"/>
        <v>2022</v>
      </c>
      <c r="L63" s="57">
        <f t="shared" si="29"/>
        <v>2023</v>
      </c>
      <c r="M63" s="57">
        <f t="shared" si="29"/>
        <v>2024</v>
      </c>
      <c r="N63" s="57">
        <f t="shared" si="29"/>
        <v>2025</v>
      </c>
      <c r="O63" s="57">
        <f t="shared" si="29"/>
        <v>2026</v>
      </c>
      <c r="P63" s="57">
        <f t="shared" si="29"/>
        <v>2027</v>
      </c>
      <c r="Q63" s="57">
        <f t="shared" si="29"/>
        <v>2028</v>
      </c>
      <c r="R63" s="57">
        <f t="shared" si="29"/>
        <v>2029</v>
      </c>
      <c r="S63" s="57">
        <f t="shared" si="29"/>
        <v>2030</v>
      </c>
      <c r="T63" s="57">
        <f t="shared" si="29"/>
        <v>2031</v>
      </c>
      <c r="U63" s="57">
        <f t="shared" si="29"/>
        <v>2032</v>
      </c>
      <c r="V63" s="57">
        <f t="shared" si="29"/>
        <v>2033</v>
      </c>
      <c r="W63" s="57">
        <f t="shared" si="29"/>
        <v>2034</v>
      </c>
      <c r="X63" s="57">
        <f t="shared" si="29"/>
        <v>2035</v>
      </c>
      <c r="Y63" s="299" t="s">
        <v>68</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ht="15">
      <c r="C64" s="47" t="s">
        <v>73</v>
      </c>
      <c r="D64" s="47" t="s">
        <v>73</v>
      </c>
      <c r="E64" s="59" t="str">
        <f>CONCATENATE("aMW_",E$11)</f>
        <v>aMW_2016</v>
      </c>
      <c r="F64" s="60" t="str">
        <f t="shared" ref="F64:X64" si="30">CONCATENATE("aMW_",F$11)</f>
        <v>aMW_2017</v>
      </c>
      <c r="G64" s="60" t="str">
        <f t="shared" si="30"/>
        <v>aMW_2018</v>
      </c>
      <c r="H64" s="60" t="str">
        <f t="shared" si="30"/>
        <v>aMW_2019</v>
      </c>
      <c r="I64" s="60" t="str">
        <f t="shared" si="30"/>
        <v>aMW_2020</v>
      </c>
      <c r="J64" s="60" t="str">
        <f t="shared" si="30"/>
        <v>aMW_2021</v>
      </c>
      <c r="K64" s="60" t="str">
        <f t="shared" si="30"/>
        <v>aMW_2022</v>
      </c>
      <c r="L64" s="60" t="str">
        <f t="shared" si="30"/>
        <v>aMW_2023</v>
      </c>
      <c r="M64" s="60" t="str">
        <f t="shared" si="30"/>
        <v>aMW_2024</v>
      </c>
      <c r="N64" s="60" t="str">
        <f t="shared" si="30"/>
        <v>aMW_2025</v>
      </c>
      <c r="O64" s="60" t="str">
        <f t="shared" si="30"/>
        <v>aMW_2026</v>
      </c>
      <c r="P64" s="60" t="str">
        <f t="shared" si="30"/>
        <v>aMW_2027</v>
      </c>
      <c r="Q64" s="60" t="str">
        <f t="shared" si="30"/>
        <v>aMW_2028</v>
      </c>
      <c r="R64" s="60" t="str">
        <f t="shared" si="30"/>
        <v>aMW_2029</v>
      </c>
      <c r="S64" s="60" t="str">
        <f t="shared" si="30"/>
        <v>aMW_2030</v>
      </c>
      <c r="T64" s="60" t="str">
        <f t="shared" si="30"/>
        <v>aMW_2031</v>
      </c>
      <c r="U64" s="60" t="str">
        <f t="shared" si="30"/>
        <v>aMW_2032</v>
      </c>
      <c r="V64" s="60" t="str">
        <f t="shared" si="30"/>
        <v>aMW_2033</v>
      </c>
      <c r="W64" s="60" t="str">
        <f t="shared" si="30"/>
        <v>aMW_2034</v>
      </c>
      <c r="X64" s="60" t="str">
        <f t="shared" si="30"/>
        <v>aMW_2035</v>
      </c>
      <c r="Y64" s="300" t="s">
        <v>68</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7" t="s">
        <v>77</v>
      </c>
      <c r="C65" s="48" t="s">
        <v>78</v>
      </c>
      <c r="D65" s="48" t="s">
        <v>79</v>
      </c>
      <c r="E65" s="26">
        <f ca="1">DSUM($B$43:$Y$56,E$43,$C$64:$D65)</f>
        <v>0.18630302494274564</v>
      </c>
      <c r="F65" s="26">
        <f ca="1">DSUM($B$43:$Y$56,F$43,$C$64:$D65)</f>
        <v>0.3606580757671165</v>
      </c>
      <c r="G65" s="26">
        <f ca="1">DSUM($B$43:$Y$56,G$43,$C$64:$D65)</f>
        <v>0.52136539994967279</v>
      </c>
      <c r="H65" s="26">
        <f ca="1">DSUM($B$43:$Y$56,H$43,$C$64:$D65)</f>
        <v>0.67278078173883715</v>
      </c>
      <c r="I65" s="26">
        <f ca="1">DSUM($B$43:$Y$56,I$43,$C$64:$D65)</f>
        <v>0.80927315014251344</v>
      </c>
      <c r="J65" s="26">
        <f ca="1">DSUM($B$43:$Y$56,J$43,$C$64:$D65)</f>
        <v>0.91465300914865333</v>
      </c>
      <c r="K65" s="26">
        <f ca="1">DSUM($B$43:$Y$56,K$43,$C$64:$D65)</f>
        <v>1.0046028397001916</v>
      </c>
      <c r="L65" s="26">
        <f ca="1">DSUM($B$43:$Y$56,L$43,$C$64:$D65)</f>
        <v>1.0959303051274436</v>
      </c>
      <c r="M65" s="26">
        <f ca="1">DSUM($B$43:$Y$56,M$43,$C$64:$D65)</f>
        <v>1.1670070193793669</v>
      </c>
      <c r="N65" s="26">
        <f ca="1">DSUM($B$43:$Y$56,N$43,$C$64:$D65)</f>
        <v>1.2482037874531191</v>
      </c>
      <c r="O65" s="26">
        <f ca="1">DSUM($B$43:$Y$56,O$43,$C$64:$D65)</f>
        <v>1.3005731292795533</v>
      </c>
      <c r="P65" s="26">
        <f ca="1">DSUM($B$43:$Y$56,P$43,$C$64:$D65)</f>
        <v>1.3262735404649029</v>
      </c>
      <c r="Q65" s="26">
        <f ca="1">DSUM($B$43:$Y$56,Q$43,$C$64:$D65)</f>
        <v>1.3324554826709929</v>
      </c>
      <c r="R65" s="26">
        <f ca="1">DSUM($B$43:$Y$56,R$43,$C$64:$D65)</f>
        <v>1.3520419144963465</v>
      </c>
      <c r="S65" s="26">
        <f ca="1">DSUM($B$43:$Y$56,S$43,$C$64:$D65)</f>
        <v>1.3754914259715647</v>
      </c>
      <c r="T65" s="26">
        <f ca="1">DSUM($B$43:$Y$56,T$43,$C$64:$D65)</f>
        <v>1.3769162368026131</v>
      </c>
      <c r="U65" s="26">
        <f ca="1">DSUM($B$43:$Y$56,U$43,$C$64:$D65)</f>
        <v>1.3398579489066416</v>
      </c>
      <c r="V65" s="26">
        <f ca="1">DSUM($B$43:$Y$56,V$43,$C$64:$D65)</f>
        <v>1.3319589036941279</v>
      </c>
      <c r="W65" s="26">
        <f ca="1">DSUM($B$43:$Y$56,W$43,$C$64:$D65)</f>
        <v>1.3269865606852709</v>
      </c>
      <c r="X65" s="26">
        <f ca="1">DSUM($B$43:$Y$56,X$43,$C$64:$D65)</f>
        <v>1.3311765195618597</v>
      </c>
      <c r="Y65" s="26">
        <f ca="1">DSUM($B$43:$Y$56,Y$43,$C$64:$D65)</f>
        <v>21.374509055883532</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7" t="s">
        <v>595</v>
      </c>
      <c r="C66" s="48" t="s">
        <v>81</v>
      </c>
      <c r="D66" s="48" t="s">
        <v>82</v>
      </c>
      <c r="E66" s="26">
        <f ca="1">DSUM($B$43:$Y$56,E$43,$C$64:$D66)</f>
        <v>0.18630302494274564</v>
      </c>
      <c r="F66" s="26">
        <f ca="1">DSUM($B$43:$Y$56,F$43,$C$64:$D66)</f>
        <v>0.3606580757671165</v>
      </c>
      <c r="G66" s="26">
        <f ca="1">DSUM($B$43:$Y$56,G$43,$C$64:$D66)</f>
        <v>0.52136539994967279</v>
      </c>
      <c r="H66" s="26">
        <f ca="1">DSUM($B$43:$Y$56,H$43,$C$64:$D66)</f>
        <v>0.67278078173883715</v>
      </c>
      <c r="I66" s="26">
        <f ca="1">DSUM($B$43:$Y$56,I$43,$C$64:$D66)</f>
        <v>0.80927315014251344</v>
      </c>
      <c r="J66" s="26">
        <f ca="1">DSUM($B$43:$Y$56,J$43,$C$64:$D66)</f>
        <v>0.91465300914865333</v>
      </c>
      <c r="K66" s="26">
        <f ca="1">DSUM($B$43:$Y$56,K$43,$C$64:$D66)</f>
        <v>1.0046028397001916</v>
      </c>
      <c r="L66" s="26">
        <f ca="1">DSUM($B$43:$Y$56,L$43,$C$64:$D66)</f>
        <v>1.0959303051274436</v>
      </c>
      <c r="M66" s="26">
        <f ca="1">DSUM($B$43:$Y$56,M$43,$C$64:$D66)</f>
        <v>1.1670070193793669</v>
      </c>
      <c r="N66" s="26">
        <f ca="1">DSUM($B$43:$Y$56,N$43,$C$64:$D66)</f>
        <v>1.2482037874531191</v>
      </c>
      <c r="O66" s="26">
        <f ca="1">DSUM($B$43:$Y$56,O$43,$C$64:$D66)</f>
        <v>1.3005731292795533</v>
      </c>
      <c r="P66" s="26">
        <f ca="1">DSUM($B$43:$Y$56,P$43,$C$64:$D66)</f>
        <v>1.3262735404649029</v>
      </c>
      <c r="Q66" s="26">
        <f ca="1">DSUM($B$43:$Y$56,Q$43,$C$64:$D66)</f>
        <v>1.3324554826709929</v>
      </c>
      <c r="R66" s="26">
        <f ca="1">DSUM($B$43:$Y$56,R$43,$C$64:$D66)</f>
        <v>1.3520419144963465</v>
      </c>
      <c r="S66" s="26">
        <f ca="1">DSUM($B$43:$Y$56,S$43,$C$64:$D66)</f>
        <v>1.3754914259715647</v>
      </c>
      <c r="T66" s="26">
        <f ca="1">DSUM($B$43:$Y$56,T$43,$C$64:$D66)</f>
        <v>1.3769162368026131</v>
      </c>
      <c r="U66" s="26">
        <f ca="1">DSUM($B$43:$Y$56,U$43,$C$64:$D66)</f>
        <v>1.3398579489066416</v>
      </c>
      <c r="V66" s="26">
        <f ca="1">DSUM($B$43:$Y$56,V$43,$C$64:$D66)</f>
        <v>1.3319589036941279</v>
      </c>
      <c r="W66" s="26">
        <f ca="1">DSUM($B$43:$Y$56,W$43,$C$64:$D66)</f>
        <v>1.3269865606852709</v>
      </c>
      <c r="X66" s="26">
        <f ca="1">DSUM($B$43:$Y$56,X$43,$C$64:$D66)</f>
        <v>1.3311765195618597</v>
      </c>
      <c r="Y66" s="26">
        <f ca="1">DSUM($B$43:$Y$56,Y$43,$C$64:$D66)</f>
        <v>21.374509055883532</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7" t="s">
        <v>83</v>
      </c>
      <c r="C67" s="48" t="s">
        <v>84</v>
      </c>
      <c r="D67" s="48" t="s">
        <v>85</v>
      </c>
      <c r="E67" s="26">
        <f ca="1">DSUM($B$43:$Y$56,E$43,$C$64:$D67)</f>
        <v>0.18630302494274564</v>
      </c>
      <c r="F67" s="26">
        <f ca="1">DSUM($B$43:$Y$56,F$43,$C$64:$D67)</f>
        <v>0.3606580757671165</v>
      </c>
      <c r="G67" s="26">
        <f ca="1">DSUM($B$43:$Y$56,G$43,$C$64:$D67)</f>
        <v>0.52136539994967279</v>
      </c>
      <c r="H67" s="26">
        <f ca="1">DSUM($B$43:$Y$56,H$43,$C$64:$D67)</f>
        <v>0.67278078173883715</v>
      </c>
      <c r="I67" s="26">
        <f ca="1">DSUM($B$43:$Y$56,I$43,$C$64:$D67)</f>
        <v>0.80927315014251344</v>
      </c>
      <c r="J67" s="26">
        <f ca="1">DSUM($B$43:$Y$56,J$43,$C$64:$D67)</f>
        <v>0.91465300914865333</v>
      </c>
      <c r="K67" s="26">
        <f ca="1">DSUM($B$43:$Y$56,K$43,$C$64:$D67)</f>
        <v>1.0046028397001916</v>
      </c>
      <c r="L67" s="26">
        <f ca="1">DSUM($B$43:$Y$56,L$43,$C$64:$D67)</f>
        <v>1.0959303051274436</v>
      </c>
      <c r="M67" s="26">
        <f ca="1">DSUM($B$43:$Y$56,M$43,$C$64:$D67)</f>
        <v>1.1670070193793669</v>
      </c>
      <c r="N67" s="26">
        <f ca="1">DSUM($B$43:$Y$56,N$43,$C$64:$D67)</f>
        <v>1.2482037874531191</v>
      </c>
      <c r="O67" s="26">
        <f ca="1">DSUM($B$43:$Y$56,O$43,$C$64:$D67)</f>
        <v>1.3005731292795533</v>
      </c>
      <c r="P67" s="26">
        <f ca="1">DSUM($B$43:$Y$56,P$43,$C$64:$D67)</f>
        <v>1.3262735404649029</v>
      </c>
      <c r="Q67" s="26">
        <f ca="1">DSUM($B$43:$Y$56,Q$43,$C$64:$D67)</f>
        <v>1.3324554826709929</v>
      </c>
      <c r="R67" s="26">
        <f ca="1">DSUM($B$43:$Y$56,R$43,$C$64:$D67)</f>
        <v>1.3520419144963465</v>
      </c>
      <c r="S67" s="26">
        <f ca="1">DSUM($B$43:$Y$56,S$43,$C$64:$D67)</f>
        <v>1.3754914259715647</v>
      </c>
      <c r="T67" s="26">
        <f ca="1">DSUM($B$43:$Y$56,T$43,$C$64:$D67)</f>
        <v>1.3769162368026131</v>
      </c>
      <c r="U67" s="26">
        <f ca="1">DSUM($B$43:$Y$56,U$43,$C$64:$D67)</f>
        <v>1.3398579489066416</v>
      </c>
      <c r="V67" s="26">
        <f ca="1">DSUM($B$43:$Y$56,V$43,$C$64:$D67)</f>
        <v>1.3319589036941279</v>
      </c>
      <c r="W67" s="26">
        <f ca="1">DSUM($B$43:$Y$56,W$43,$C$64:$D67)</f>
        <v>1.3269865606852709</v>
      </c>
      <c r="X67" s="26">
        <f ca="1">DSUM($B$43:$Y$56,X$43,$C$64:$D67)</f>
        <v>1.3311765195618597</v>
      </c>
      <c r="Y67" s="26">
        <f ca="1">DSUM($B$43:$Y$56,Y$43,$C$64:$D67)</f>
        <v>21.374509055883532</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7" t="s">
        <v>86</v>
      </c>
      <c r="C68" s="48" t="s">
        <v>87</v>
      </c>
      <c r="D68" s="48" t="s">
        <v>88</v>
      </c>
      <c r="E68" s="26">
        <f ca="1">DSUM($B$43:$Y$56,E$43,$C$64:$D68)</f>
        <v>0.18630302494274564</v>
      </c>
      <c r="F68" s="26">
        <f ca="1">DSUM($B$43:$Y$56,F$43,$C$64:$D68)</f>
        <v>0.3606580757671165</v>
      </c>
      <c r="G68" s="26">
        <f ca="1">DSUM($B$43:$Y$56,G$43,$C$64:$D68)</f>
        <v>0.52136539994967279</v>
      </c>
      <c r="H68" s="26">
        <f ca="1">DSUM($B$43:$Y$56,H$43,$C$64:$D68)</f>
        <v>0.67278078173883715</v>
      </c>
      <c r="I68" s="26">
        <f ca="1">DSUM($B$43:$Y$56,I$43,$C$64:$D68)</f>
        <v>0.80927315014251344</v>
      </c>
      <c r="J68" s="26">
        <f ca="1">DSUM($B$43:$Y$56,J$43,$C$64:$D68)</f>
        <v>0.91465300914865333</v>
      </c>
      <c r="K68" s="26">
        <f ca="1">DSUM($B$43:$Y$56,K$43,$C$64:$D68)</f>
        <v>1.0046028397001916</v>
      </c>
      <c r="L68" s="26">
        <f ca="1">DSUM($B$43:$Y$56,L$43,$C$64:$D68)</f>
        <v>1.0959303051274436</v>
      </c>
      <c r="M68" s="26">
        <f ca="1">DSUM($B$43:$Y$56,M$43,$C$64:$D68)</f>
        <v>1.1670070193793669</v>
      </c>
      <c r="N68" s="26">
        <f ca="1">DSUM($B$43:$Y$56,N$43,$C$64:$D68)</f>
        <v>1.2482037874531191</v>
      </c>
      <c r="O68" s="26">
        <f ca="1">DSUM($B$43:$Y$56,O$43,$C$64:$D68)</f>
        <v>1.3005731292795533</v>
      </c>
      <c r="P68" s="26">
        <f ca="1">DSUM($B$43:$Y$56,P$43,$C$64:$D68)</f>
        <v>1.3262735404649029</v>
      </c>
      <c r="Q68" s="26">
        <f ca="1">DSUM($B$43:$Y$56,Q$43,$C$64:$D68)</f>
        <v>1.3324554826709929</v>
      </c>
      <c r="R68" s="26">
        <f ca="1">DSUM($B$43:$Y$56,R$43,$C$64:$D68)</f>
        <v>1.3520419144963465</v>
      </c>
      <c r="S68" s="26">
        <f ca="1">DSUM($B$43:$Y$56,S$43,$C$64:$D68)</f>
        <v>1.3754914259715647</v>
      </c>
      <c r="T68" s="26">
        <f ca="1">DSUM($B$43:$Y$56,T$43,$C$64:$D68)</f>
        <v>1.3769162368026131</v>
      </c>
      <c r="U68" s="26">
        <f ca="1">DSUM($B$43:$Y$56,U$43,$C$64:$D68)</f>
        <v>1.3398579489066416</v>
      </c>
      <c r="V68" s="26">
        <f ca="1">DSUM($B$43:$Y$56,V$43,$C$64:$D68)</f>
        <v>1.3319589036941279</v>
      </c>
      <c r="W68" s="26">
        <f ca="1">DSUM($B$43:$Y$56,W$43,$C$64:$D68)</f>
        <v>1.3269865606852709</v>
      </c>
      <c r="X68" s="26">
        <f ca="1">DSUM($B$43:$Y$56,X$43,$C$64:$D68)</f>
        <v>1.3311765195618597</v>
      </c>
      <c r="Y68" s="26">
        <f ca="1">DSUM($B$43:$Y$56,Y$43,$C$64:$D68)</f>
        <v>21.374509055883532</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7" t="s">
        <v>89</v>
      </c>
      <c r="C69" s="48" t="s">
        <v>90</v>
      </c>
      <c r="D69" s="48" t="s">
        <v>91</v>
      </c>
      <c r="E69" s="26">
        <f ca="1">DSUM($B$43:$Y$56,E$43,$C$64:$D69)</f>
        <v>0.18630302494274564</v>
      </c>
      <c r="F69" s="26">
        <f ca="1">DSUM($B$43:$Y$56,F$43,$C$64:$D69)</f>
        <v>0.3606580757671165</v>
      </c>
      <c r="G69" s="26">
        <f ca="1">DSUM($B$43:$Y$56,G$43,$C$64:$D69)</f>
        <v>0.52136539994967279</v>
      </c>
      <c r="H69" s="26">
        <f ca="1">DSUM($B$43:$Y$56,H$43,$C$64:$D69)</f>
        <v>0.67278078173883715</v>
      </c>
      <c r="I69" s="26">
        <f ca="1">DSUM($B$43:$Y$56,I$43,$C$64:$D69)</f>
        <v>0.80927315014251344</v>
      </c>
      <c r="J69" s="26">
        <f ca="1">DSUM($B$43:$Y$56,J$43,$C$64:$D69)</f>
        <v>0.91465300914865333</v>
      </c>
      <c r="K69" s="26">
        <f ca="1">DSUM($B$43:$Y$56,K$43,$C$64:$D69)</f>
        <v>1.0046028397001916</v>
      </c>
      <c r="L69" s="26">
        <f ca="1">DSUM($B$43:$Y$56,L$43,$C$64:$D69)</f>
        <v>1.0959303051274436</v>
      </c>
      <c r="M69" s="26">
        <f ca="1">DSUM($B$43:$Y$56,M$43,$C$64:$D69)</f>
        <v>1.1670070193793669</v>
      </c>
      <c r="N69" s="26">
        <f ca="1">DSUM($B$43:$Y$56,N$43,$C$64:$D69)</f>
        <v>1.2482037874531191</v>
      </c>
      <c r="O69" s="26">
        <f ca="1">DSUM($B$43:$Y$56,O$43,$C$64:$D69)</f>
        <v>1.3005731292795533</v>
      </c>
      <c r="P69" s="26">
        <f ca="1">DSUM($B$43:$Y$56,P$43,$C$64:$D69)</f>
        <v>1.3262735404649029</v>
      </c>
      <c r="Q69" s="26">
        <f ca="1">DSUM($B$43:$Y$56,Q$43,$C$64:$D69)</f>
        <v>1.3324554826709929</v>
      </c>
      <c r="R69" s="26">
        <f ca="1">DSUM($B$43:$Y$56,R$43,$C$64:$D69)</f>
        <v>1.3520419144963465</v>
      </c>
      <c r="S69" s="26">
        <f ca="1">DSUM($B$43:$Y$56,S$43,$C$64:$D69)</f>
        <v>1.3754914259715647</v>
      </c>
      <c r="T69" s="26">
        <f ca="1">DSUM($B$43:$Y$56,T$43,$C$64:$D69)</f>
        <v>1.3769162368026131</v>
      </c>
      <c r="U69" s="26">
        <f ca="1">DSUM($B$43:$Y$56,U$43,$C$64:$D69)</f>
        <v>1.3398579489066416</v>
      </c>
      <c r="V69" s="26">
        <f ca="1">DSUM($B$43:$Y$56,V$43,$C$64:$D69)</f>
        <v>1.3319589036941279</v>
      </c>
      <c r="W69" s="26">
        <f ca="1">DSUM($B$43:$Y$56,W$43,$C$64:$D69)</f>
        <v>1.3269865606852709</v>
      </c>
      <c r="X69" s="26">
        <f ca="1">DSUM($B$43:$Y$56,X$43,$C$64:$D69)</f>
        <v>1.3311765195618597</v>
      </c>
      <c r="Y69" s="26">
        <f ca="1">DSUM($B$43:$Y$56,Y$43,$C$64:$D69)</f>
        <v>21.374509055883532</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7" t="s">
        <v>92</v>
      </c>
      <c r="C70" s="48" t="s">
        <v>93</v>
      </c>
      <c r="D70" s="48" t="s">
        <v>94</v>
      </c>
      <c r="E70" s="26">
        <f ca="1">DSUM($B$43:$Y$56,E$43,$C$64:$D70)</f>
        <v>0.18630302494274564</v>
      </c>
      <c r="F70" s="26">
        <f ca="1">DSUM($B$43:$Y$56,F$43,$C$64:$D70)</f>
        <v>0.3606580757671165</v>
      </c>
      <c r="G70" s="26">
        <f ca="1">DSUM($B$43:$Y$56,G$43,$C$64:$D70)</f>
        <v>0.52136539994967279</v>
      </c>
      <c r="H70" s="26">
        <f ca="1">DSUM($B$43:$Y$56,H$43,$C$64:$D70)</f>
        <v>0.67278078173883715</v>
      </c>
      <c r="I70" s="26">
        <f ca="1">DSUM($B$43:$Y$56,I$43,$C$64:$D70)</f>
        <v>0.80927315014251344</v>
      </c>
      <c r="J70" s="26">
        <f ca="1">DSUM($B$43:$Y$56,J$43,$C$64:$D70)</f>
        <v>0.91465300914865333</v>
      </c>
      <c r="K70" s="26">
        <f ca="1">DSUM($B$43:$Y$56,K$43,$C$64:$D70)</f>
        <v>1.0046028397001916</v>
      </c>
      <c r="L70" s="26">
        <f ca="1">DSUM($B$43:$Y$56,L$43,$C$64:$D70)</f>
        <v>1.0959303051274436</v>
      </c>
      <c r="M70" s="26">
        <f ca="1">DSUM($B$43:$Y$56,M$43,$C$64:$D70)</f>
        <v>1.1670070193793669</v>
      </c>
      <c r="N70" s="26">
        <f ca="1">DSUM($B$43:$Y$56,N$43,$C$64:$D70)</f>
        <v>1.2482037874531191</v>
      </c>
      <c r="O70" s="26">
        <f ca="1">DSUM($B$43:$Y$56,O$43,$C$64:$D70)</f>
        <v>1.3005731292795533</v>
      </c>
      <c r="P70" s="26">
        <f ca="1">DSUM($B$43:$Y$56,P$43,$C$64:$D70)</f>
        <v>1.3262735404649029</v>
      </c>
      <c r="Q70" s="26">
        <f ca="1">DSUM($B$43:$Y$56,Q$43,$C$64:$D70)</f>
        <v>1.3324554826709929</v>
      </c>
      <c r="R70" s="26">
        <f ca="1">DSUM($B$43:$Y$56,R$43,$C$64:$D70)</f>
        <v>1.3520419144963465</v>
      </c>
      <c r="S70" s="26">
        <f ca="1">DSUM($B$43:$Y$56,S$43,$C$64:$D70)</f>
        <v>1.3754914259715647</v>
      </c>
      <c r="T70" s="26">
        <f ca="1">DSUM($B$43:$Y$56,T$43,$C$64:$D70)</f>
        <v>1.3769162368026131</v>
      </c>
      <c r="U70" s="26">
        <f ca="1">DSUM($B$43:$Y$56,U$43,$C$64:$D70)</f>
        <v>1.3398579489066416</v>
      </c>
      <c r="V70" s="26">
        <f ca="1">DSUM($B$43:$Y$56,V$43,$C$64:$D70)</f>
        <v>1.3319589036941279</v>
      </c>
      <c r="W70" s="26">
        <f ca="1">DSUM($B$43:$Y$56,W$43,$C$64:$D70)</f>
        <v>1.3269865606852709</v>
      </c>
      <c r="X70" s="26">
        <f ca="1">DSUM($B$43:$Y$56,X$43,$C$64:$D70)</f>
        <v>1.3311765195618597</v>
      </c>
      <c r="Y70" s="26">
        <f ca="1">DSUM($B$43:$Y$56,Y$43,$C$64:$D70)</f>
        <v>21.374509055883532</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7" t="s">
        <v>95</v>
      </c>
      <c r="C71" s="48" t="s">
        <v>96</v>
      </c>
      <c r="D71" s="48" t="s">
        <v>97</v>
      </c>
      <c r="E71" s="26">
        <f ca="1">DSUM($B$43:$Y$56,E$43,$C$64:$D71)</f>
        <v>0.18630302494274564</v>
      </c>
      <c r="F71" s="26">
        <f ca="1">DSUM($B$43:$Y$56,F$43,$C$64:$D71)</f>
        <v>0.3606580757671165</v>
      </c>
      <c r="G71" s="26">
        <f ca="1">DSUM($B$43:$Y$56,G$43,$C$64:$D71)</f>
        <v>0.52136539994967279</v>
      </c>
      <c r="H71" s="26">
        <f ca="1">DSUM($B$43:$Y$56,H$43,$C$64:$D71)</f>
        <v>0.67278078173883715</v>
      </c>
      <c r="I71" s="26">
        <f ca="1">DSUM($B$43:$Y$56,I$43,$C$64:$D71)</f>
        <v>0.80927315014251344</v>
      </c>
      <c r="J71" s="26">
        <f ca="1">DSUM($B$43:$Y$56,J$43,$C$64:$D71)</f>
        <v>0.91465300914865333</v>
      </c>
      <c r="K71" s="26">
        <f ca="1">DSUM($B$43:$Y$56,K$43,$C$64:$D71)</f>
        <v>1.0046028397001916</v>
      </c>
      <c r="L71" s="26">
        <f ca="1">DSUM($B$43:$Y$56,L$43,$C$64:$D71)</f>
        <v>1.0959303051274436</v>
      </c>
      <c r="M71" s="26">
        <f ca="1">DSUM($B$43:$Y$56,M$43,$C$64:$D71)</f>
        <v>1.1670070193793669</v>
      </c>
      <c r="N71" s="26">
        <f ca="1">DSUM($B$43:$Y$56,N$43,$C$64:$D71)</f>
        <v>1.2482037874531191</v>
      </c>
      <c r="O71" s="26">
        <f ca="1">DSUM($B$43:$Y$56,O$43,$C$64:$D71)</f>
        <v>1.3005731292795533</v>
      </c>
      <c r="P71" s="26">
        <f ca="1">DSUM($B$43:$Y$56,P$43,$C$64:$D71)</f>
        <v>1.3262735404649029</v>
      </c>
      <c r="Q71" s="26">
        <f ca="1">DSUM($B$43:$Y$56,Q$43,$C$64:$D71)</f>
        <v>1.3324554826709929</v>
      </c>
      <c r="R71" s="26">
        <f ca="1">DSUM($B$43:$Y$56,R$43,$C$64:$D71)</f>
        <v>1.3520419144963465</v>
      </c>
      <c r="S71" s="26">
        <f ca="1">DSUM($B$43:$Y$56,S$43,$C$64:$D71)</f>
        <v>1.3754914259715647</v>
      </c>
      <c r="T71" s="26">
        <f ca="1">DSUM($B$43:$Y$56,T$43,$C$64:$D71)</f>
        <v>1.3769162368026131</v>
      </c>
      <c r="U71" s="26">
        <f ca="1">DSUM($B$43:$Y$56,U$43,$C$64:$D71)</f>
        <v>1.3398579489066416</v>
      </c>
      <c r="V71" s="26">
        <f ca="1">DSUM($B$43:$Y$56,V$43,$C$64:$D71)</f>
        <v>1.3319589036941279</v>
      </c>
      <c r="W71" s="26">
        <f ca="1">DSUM($B$43:$Y$56,W$43,$C$64:$D71)</f>
        <v>1.3269865606852709</v>
      </c>
      <c r="X71" s="26">
        <f ca="1">DSUM($B$43:$Y$56,X$43,$C$64:$D71)</f>
        <v>1.3311765195618597</v>
      </c>
      <c r="Y71" s="26">
        <f ca="1">DSUM($B$43:$Y$56,Y$43,$C$64:$D71)</f>
        <v>21.374509055883532</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7" t="s">
        <v>98</v>
      </c>
      <c r="C72" s="48" t="s">
        <v>99</v>
      </c>
      <c r="D72" s="48" t="s">
        <v>100</v>
      </c>
      <c r="E72" s="26">
        <f ca="1">DSUM($B$43:$Y$56,E$43,$C$64:$D72)</f>
        <v>0.18630302494274564</v>
      </c>
      <c r="F72" s="26">
        <f ca="1">DSUM($B$43:$Y$56,F$43,$C$64:$D72)</f>
        <v>0.3606580757671165</v>
      </c>
      <c r="G72" s="26">
        <f ca="1">DSUM($B$43:$Y$56,G$43,$C$64:$D72)</f>
        <v>0.52136539994967279</v>
      </c>
      <c r="H72" s="26">
        <f ca="1">DSUM($B$43:$Y$56,H$43,$C$64:$D72)</f>
        <v>0.67278078173883715</v>
      </c>
      <c r="I72" s="26">
        <f ca="1">DSUM($B$43:$Y$56,I$43,$C$64:$D72)</f>
        <v>0.80927315014251344</v>
      </c>
      <c r="J72" s="26">
        <f ca="1">DSUM($B$43:$Y$56,J$43,$C$64:$D72)</f>
        <v>0.91465300914865333</v>
      </c>
      <c r="K72" s="26">
        <f ca="1">DSUM($B$43:$Y$56,K$43,$C$64:$D72)</f>
        <v>1.0046028397001916</v>
      </c>
      <c r="L72" s="26">
        <f ca="1">DSUM($B$43:$Y$56,L$43,$C$64:$D72)</f>
        <v>1.0959303051274436</v>
      </c>
      <c r="M72" s="26">
        <f ca="1">DSUM($B$43:$Y$56,M$43,$C$64:$D72)</f>
        <v>1.1670070193793669</v>
      </c>
      <c r="N72" s="26">
        <f ca="1">DSUM($B$43:$Y$56,N$43,$C$64:$D72)</f>
        <v>1.2482037874531191</v>
      </c>
      <c r="O72" s="26">
        <f ca="1">DSUM($B$43:$Y$56,O$43,$C$64:$D72)</f>
        <v>1.3005731292795533</v>
      </c>
      <c r="P72" s="26">
        <f ca="1">DSUM($B$43:$Y$56,P$43,$C$64:$D72)</f>
        <v>1.3262735404649029</v>
      </c>
      <c r="Q72" s="26">
        <f ca="1">DSUM($B$43:$Y$56,Q$43,$C$64:$D72)</f>
        <v>1.3324554826709929</v>
      </c>
      <c r="R72" s="26">
        <f ca="1">DSUM($B$43:$Y$56,R$43,$C$64:$D72)</f>
        <v>1.3520419144963465</v>
      </c>
      <c r="S72" s="26">
        <f ca="1">DSUM($B$43:$Y$56,S$43,$C$64:$D72)</f>
        <v>1.3754914259715647</v>
      </c>
      <c r="T72" s="26">
        <f ca="1">DSUM($B$43:$Y$56,T$43,$C$64:$D72)</f>
        <v>1.3769162368026131</v>
      </c>
      <c r="U72" s="26">
        <f ca="1">DSUM($B$43:$Y$56,U$43,$C$64:$D72)</f>
        <v>1.3398579489066416</v>
      </c>
      <c r="V72" s="26">
        <f ca="1">DSUM($B$43:$Y$56,V$43,$C$64:$D72)</f>
        <v>1.3319589036941279</v>
      </c>
      <c r="W72" s="26">
        <f ca="1">DSUM($B$43:$Y$56,W$43,$C$64:$D72)</f>
        <v>1.3269865606852709</v>
      </c>
      <c r="X72" s="26">
        <f ca="1">DSUM($B$43:$Y$56,X$43,$C$64:$D72)</f>
        <v>1.3311765195618597</v>
      </c>
      <c r="Y72" s="26">
        <f ca="1">DSUM($B$43:$Y$56,Y$43,$C$64:$D72)</f>
        <v>21.374509055883532</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7" t="s">
        <v>101</v>
      </c>
      <c r="C73" s="48" t="s">
        <v>102</v>
      </c>
      <c r="D73" s="48" t="s">
        <v>103</v>
      </c>
      <c r="E73" s="26">
        <f ca="1">DSUM($B$43:$Y$56,E$43,$C$64:$D73)</f>
        <v>0.18630302494274564</v>
      </c>
      <c r="F73" s="26">
        <f ca="1">DSUM($B$43:$Y$56,F$43,$C$64:$D73)</f>
        <v>0.3606580757671165</v>
      </c>
      <c r="G73" s="26">
        <f ca="1">DSUM($B$43:$Y$56,G$43,$C$64:$D73)</f>
        <v>0.52136539994967279</v>
      </c>
      <c r="H73" s="26">
        <f ca="1">DSUM($B$43:$Y$56,H$43,$C$64:$D73)</f>
        <v>0.67278078173883715</v>
      </c>
      <c r="I73" s="26">
        <f ca="1">DSUM($B$43:$Y$56,I$43,$C$64:$D73)</f>
        <v>0.80927315014251344</v>
      </c>
      <c r="J73" s="26">
        <f ca="1">DSUM($B$43:$Y$56,J$43,$C$64:$D73)</f>
        <v>0.91465300914865333</v>
      </c>
      <c r="K73" s="26">
        <f ca="1">DSUM($B$43:$Y$56,K$43,$C$64:$D73)</f>
        <v>1.0046028397001916</v>
      </c>
      <c r="L73" s="26">
        <f ca="1">DSUM($B$43:$Y$56,L$43,$C$64:$D73)</f>
        <v>1.0959303051274436</v>
      </c>
      <c r="M73" s="26">
        <f ca="1">DSUM($B$43:$Y$56,M$43,$C$64:$D73)</f>
        <v>1.1670070193793669</v>
      </c>
      <c r="N73" s="26">
        <f ca="1">DSUM($B$43:$Y$56,N$43,$C$64:$D73)</f>
        <v>1.2482037874531191</v>
      </c>
      <c r="O73" s="26">
        <f ca="1">DSUM($B$43:$Y$56,O$43,$C$64:$D73)</f>
        <v>1.3005731292795533</v>
      </c>
      <c r="P73" s="26">
        <f ca="1">DSUM($B$43:$Y$56,P$43,$C$64:$D73)</f>
        <v>1.3262735404649029</v>
      </c>
      <c r="Q73" s="26">
        <f ca="1">DSUM($B$43:$Y$56,Q$43,$C$64:$D73)</f>
        <v>1.3324554826709929</v>
      </c>
      <c r="R73" s="26">
        <f ca="1">DSUM($B$43:$Y$56,R$43,$C$64:$D73)</f>
        <v>1.3520419144963465</v>
      </c>
      <c r="S73" s="26">
        <f ca="1">DSUM($B$43:$Y$56,S$43,$C$64:$D73)</f>
        <v>1.3754914259715647</v>
      </c>
      <c r="T73" s="26">
        <f ca="1">DSUM($B$43:$Y$56,T$43,$C$64:$D73)</f>
        <v>1.3769162368026131</v>
      </c>
      <c r="U73" s="26">
        <f ca="1">DSUM($B$43:$Y$56,U$43,$C$64:$D73)</f>
        <v>1.3398579489066416</v>
      </c>
      <c r="V73" s="26">
        <f ca="1">DSUM($B$43:$Y$56,V$43,$C$64:$D73)</f>
        <v>1.3319589036941279</v>
      </c>
      <c r="W73" s="26">
        <f ca="1">DSUM($B$43:$Y$56,W$43,$C$64:$D73)</f>
        <v>1.3269865606852709</v>
      </c>
      <c r="X73" s="26">
        <f ca="1">DSUM($B$43:$Y$56,X$43,$C$64:$D73)</f>
        <v>1.3311765195618597</v>
      </c>
      <c r="Y73" s="26">
        <f ca="1">DSUM($B$43:$Y$56,Y$43,$C$64:$D73)</f>
        <v>21.374509055883532</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7" t="s">
        <v>104</v>
      </c>
      <c r="C74" s="48" t="s">
        <v>105</v>
      </c>
      <c r="D74" s="48" t="s">
        <v>106</v>
      </c>
      <c r="E74" s="26">
        <f ca="1">DSUM($B$43:$Y$56,E$43,$C$64:$D74)</f>
        <v>0.18630302494274564</v>
      </c>
      <c r="F74" s="26">
        <f ca="1">DSUM($B$43:$Y$56,F$43,$C$64:$D74)</f>
        <v>0.3606580757671165</v>
      </c>
      <c r="G74" s="26">
        <f ca="1">DSUM($B$43:$Y$56,G$43,$C$64:$D74)</f>
        <v>0.52136539994967279</v>
      </c>
      <c r="H74" s="26">
        <f ca="1">DSUM($B$43:$Y$56,H$43,$C$64:$D74)</f>
        <v>0.67278078173883715</v>
      </c>
      <c r="I74" s="26">
        <f ca="1">DSUM($B$43:$Y$56,I$43,$C$64:$D74)</f>
        <v>0.80927315014251344</v>
      </c>
      <c r="J74" s="26">
        <f ca="1">DSUM($B$43:$Y$56,J$43,$C$64:$D74)</f>
        <v>0.91465300914865333</v>
      </c>
      <c r="K74" s="26">
        <f ca="1">DSUM($B$43:$Y$56,K$43,$C$64:$D74)</f>
        <v>1.0046028397001916</v>
      </c>
      <c r="L74" s="26">
        <f ca="1">DSUM($B$43:$Y$56,L$43,$C$64:$D74)</f>
        <v>1.0959303051274436</v>
      </c>
      <c r="M74" s="26">
        <f ca="1">DSUM($B$43:$Y$56,M$43,$C$64:$D74)</f>
        <v>1.1670070193793669</v>
      </c>
      <c r="N74" s="26">
        <f ca="1">DSUM($B$43:$Y$56,N$43,$C$64:$D74)</f>
        <v>1.2482037874531191</v>
      </c>
      <c r="O74" s="26">
        <f ca="1">DSUM($B$43:$Y$56,O$43,$C$64:$D74)</f>
        <v>1.3005731292795533</v>
      </c>
      <c r="P74" s="26">
        <f ca="1">DSUM($B$43:$Y$56,P$43,$C$64:$D74)</f>
        <v>1.3262735404649029</v>
      </c>
      <c r="Q74" s="26">
        <f ca="1">DSUM($B$43:$Y$56,Q$43,$C$64:$D74)</f>
        <v>1.3324554826709929</v>
      </c>
      <c r="R74" s="26">
        <f ca="1">DSUM($B$43:$Y$56,R$43,$C$64:$D74)</f>
        <v>1.3520419144963465</v>
      </c>
      <c r="S74" s="26">
        <f ca="1">DSUM($B$43:$Y$56,S$43,$C$64:$D74)</f>
        <v>1.3754914259715647</v>
      </c>
      <c r="T74" s="26">
        <f ca="1">DSUM($B$43:$Y$56,T$43,$C$64:$D74)</f>
        <v>1.3769162368026131</v>
      </c>
      <c r="U74" s="26">
        <f ca="1">DSUM($B$43:$Y$56,U$43,$C$64:$D74)</f>
        <v>1.3398579489066416</v>
      </c>
      <c r="V74" s="26">
        <f ca="1">DSUM($B$43:$Y$56,V$43,$C$64:$D74)</f>
        <v>1.3319589036941279</v>
      </c>
      <c r="W74" s="26">
        <f ca="1">DSUM($B$43:$Y$56,W$43,$C$64:$D74)</f>
        <v>1.3269865606852709</v>
      </c>
      <c r="X74" s="26">
        <f ca="1">DSUM($B$43:$Y$56,X$43,$C$64:$D74)</f>
        <v>1.3311765195618597</v>
      </c>
      <c r="Y74" s="26">
        <f ca="1">DSUM($B$43:$Y$56,Y$43,$C$64:$D74)</f>
        <v>21.374509055883532</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7" t="s">
        <v>107</v>
      </c>
      <c r="C75" s="48" t="s">
        <v>108</v>
      </c>
      <c r="D75" s="48" t="s">
        <v>109</v>
      </c>
      <c r="E75" s="26">
        <f ca="1">DSUM($B$43:$Y$56,E$43,$C$64:$D75)</f>
        <v>0.18630302494274564</v>
      </c>
      <c r="F75" s="26">
        <f ca="1">DSUM($B$43:$Y$56,F$43,$C$64:$D75)</f>
        <v>0.3606580757671165</v>
      </c>
      <c r="G75" s="26">
        <f ca="1">DSUM($B$43:$Y$56,G$43,$C$64:$D75)</f>
        <v>0.52136539994967279</v>
      </c>
      <c r="H75" s="26">
        <f ca="1">DSUM($B$43:$Y$56,H$43,$C$64:$D75)</f>
        <v>0.67278078173883715</v>
      </c>
      <c r="I75" s="26">
        <f ca="1">DSUM($B$43:$Y$56,I$43,$C$64:$D75)</f>
        <v>0.80927315014251344</v>
      </c>
      <c r="J75" s="26">
        <f ca="1">DSUM($B$43:$Y$56,J$43,$C$64:$D75)</f>
        <v>0.91465300914865333</v>
      </c>
      <c r="K75" s="26">
        <f ca="1">DSUM($B$43:$Y$56,K$43,$C$64:$D75)</f>
        <v>1.0046028397001916</v>
      </c>
      <c r="L75" s="26">
        <f ca="1">DSUM($B$43:$Y$56,L$43,$C$64:$D75)</f>
        <v>1.0959303051274436</v>
      </c>
      <c r="M75" s="26">
        <f ca="1">DSUM($B$43:$Y$56,M$43,$C$64:$D75)</f>
        <v>1.1670070193793669</v>
      </c>
      <c r="N75" s="26">
        <f ca="1">DSUM($B$43:$Y$56,N$43,$C$64:$D75)</f>
        <v>1.2482037874531191</v>
      </c>
      <c r="O75" s="26">
        <f ca="1">DSUM($B$43:$Y$56,O$43,$C$64:$D75)</f>
        <v>1.3005731292795533</v>
      </c>
      <c r="P75" s="26">
        <f ca="1">DSUM($B$43:$Y$56,P$43,$C$64:$D75)</f>
        <v>1.3262735404649029</v>
      </c>
      <c r="Q75" s="26">
        <f ca="1">DSUM($B$43:$Y$56,Q$43,$C$64:$D75)</f>
        <v>1.3324554826709929</v>
      </c>
      <c r="R75" s="26">
        <f ca="1">DSUM($B$43:$Y$56,R$43,$C$64:$D75)</f>
        <v>1.3520419144963465</v>
      </c>
      <c r="S75" s="26">
        <f ca="1">DSUM($B$43:$Y$56,S$43,$C$64:$D75)</f>
        <v>1.3754914259715647</v>
      </c>
      <c r="T75" s="26">
        <f ca="1">DSUM($B$43:$Y$56,T$43,$C$64:$D75)</f>
        <v>1.3769162368026131</v>
      </c>
      <c r="U75" s="26">
        <f ca="1">DSUM($B$43:$Y$56,U$43,$C$64:$D75)</f>
        <v>1.3398579489066416</v>
      </c>
      <c r="V75" s="26">
        <f ca="1">DSUM($B$43:$Y$56,V$43,$C$64:$D75)</f>
        <v>1.3319589036941279</v>
      </c>
      <c r="W75" s="26">
        <f ca="1">DSUM($B$43:$Y$56,W$43,$C$64:$D75)</f>
        <v>1.3269865606852709</v>
      </c>
      <c r="X75" s="26">
        <f ca="1">DSUM($B$43:$Y$56,X$43,$C$64:$D75)</f>
        <v>1.3311765195618597</v>
      </c>
      <c r="Y75" s="26">
        <f ca="1">DSUM($B$43:$Y$56,Y$43,$C$64:$D75)</f>
        <v>21.374509055883532</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7" t="s">
        <v>110</v>
      </c>
      <c r="C76" s="48" t="s">
        <v>111</v>
      </c>
      <c r="D76" s="48" t="s">
        <v>112</v>
      </c>
      <c r="E76" s="26">
        <f ca="1">DSUM($B$43:$Y$56,E$43,$C$64:$D76)</f>
        <v>0.18630302494274564</v>
      </c>
      <c r="F76" s="26">
        <f ca="1">DSUM($B$43:$Y$56,F$43,$C$64:$D76)</f>
        <v>0.3606580757671165</v>
      </c>
      <c r="G76" s="26">
        <f ca="1">DSUM($B$43:$Y$56,G$43,$C$64:$D76)</f>
        <v>0.52136539994967279</v>
      </c>
      <c r="H76" s="26">
        <f ca="1">DSUM($B$43:$Y$56,H$43,$C$64:$D76)</f>
        <v>0.67278078173883715</v>
      </c>
      <c r="I76" s="26">
        <f ca="1">DSUM($B$43:$Y$56,I$43,$C$64:$D76)</f>
        <v>0.80927315014251344</v>
      </c>
      <c r="J76" s="26">
        <f ca="1">DSUM($B$43:$Y$56,J$43,$C$64:$D76)</f>
        <v>0.91465300914865333</v>
      </c>
      <c r="K76" s="26">
        <f ca="1">DSUM($B$43:$Y$56,K$43,$C$64:$D76)</f>
        <v>1.0046028397001916</v>
      </c>
      <c r="L76" s="26">
        <f ca="1">DSUM($B$43:$Y$56,L$43,$C$64:$D76)</f>
        <v>1.0959303051274436</v>
      </c>
      <c r="M76" s="26">
        <f ca="1">DSUM($B$43:$Y$56,M$43,$C$64:$D76)</f>
        <v>1.1670070193793669</v>
      </c>
      <c r="N76" s="26">
        <f ca="1">DSUM($B$43:$Y$56,N$43,$C$64:$D76)</f>
        <v>1.2482037874531191</v>
      </c>
      <c r="O76" s="26">
        <f ca="1">DSUM($B$43:$Y$56,O$43,$C$64:$D76)</f>
        <v>1.3005731292795533</v>
      </c>
      <c r="P76" s="26">
        <f ca="1">DSUM($B$43:$Y$56,P$43,$C$64:$D76)</f>
        <v>1.3262735404649029</v>
      </c>
      <c r="Q76" s="26">
        <f ca="1">DSUM($B$43:$Y$56,Q$43,$C$64:$D76)</f>
        <v>1.3324554826709929</v>
      </c>
      <c r="R76" s="26">
        <f ca="1">DSUM($B$43:$Y$56,R$43,$C$64:$D76)</f>
        <v>1.3520419144963465</v>
      </c>
      <c r="S76" s="26">
        <f ca="1">DSUM($B$43:$Y$56,S$43,$C$64:$D76)</f>
        <v>1.3754914259715647</v>
      </c>
      <c r="T76" s="26">
        <f ca="1">DSUM($B$43:$Y$56,T$43,$C$64:$D76)</f>
        <v>1.3769162368026131</v>
      </c>
      <c r="U76" s="26">
        <f ca="1">DSUM($B$43:$Y$56,U$43,$C$64:$D76)</f>
        <v>1.3398579489066416</v>
      </c>
      <c r="V76" s="26">
        <f ca="1">DSUM($B$43:$Y$56,V$43,$C$64:$D76)</f>
        <v>1.3319589036941279</v>
      </c>
      <c r="W76" s="26">
        <f ca="1">DSUM($B$43:$Y$56,W$43,$C$64:$D76)</f>
        <v>1.3269865606852709</v>
      </c>
      <c r="X76" s="26">
        <f ca="1">DSUM($B$43:$Y$56,X$43,$C$64:$D76)</f>
        <v>1.3311765195618597</v>
      </c>
      <c r="Y76" s="26">
        <f ca="1">DSUM($B$43:$Y$56,Y$43,$C$64:$D76)</f>
        <v>21.374509055883532</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7" t="s">
        <v>113</v>
      </c>
      <c r="C77" s="48" t="s">
        <v>114</v>
      </c>
      <c r="D77" s="48" t="s">
        <v>115</v>
      </c>
      <c r="E77" s="26">
        <f ca="1">DSUM($B$43:$Y$56,E$43,$C$64:$D77)</f>
        <v>0.18630302494274564</v>
      </c>
      <c r="F77" s="26">
        <f ca="1">DSUM($B$43:$Y$56,F$43,$C$64:$D77)</f>
        <v>0.3606580757671165</v>
      </c>
      <c r="G77" s="26">
        <f ca="1">DSUM($B$43:$Y$56,G$43,$C$64:$D77)</f>
        <v>0.52136539994967279</v>
      </c>
      <c r="H77" s="26">
        <f ca="1">DSUM($B$43:$Y$56,H$43,$C$64:$D77)</f>
        <v>0.67278078173883715</v>
      </c>
      <c r="I77" s="26">
        <f ca="1">DSUM($B$43:$Y$56,I$43,$C$64:$D77)</f>
        <v>0.80927315014251344</v>
      </c>
      <c r="J77" s="26">
        <f ca="1">DSUM($B$43:$Y$56,J$43,$C$64:$D77)</f>
        <v>0.91465300914865333</v>
      </c>
      <c r="K77" s="26">
        <f ca="1">DSUM($B$43:$Y$56,K$43,$C$64:$D77)</f>
        <v>1.0046028397001916</v>
      </c>
      <c r="L77" s="26">
        <f ca="1">DSUM($B$43:$Y$56,L$43,$C$64:$D77)</f>
        <v>1.0959303051274436</v>
      </c>
      <c r="M77" s="26">
        <f ca="1">DSUM($B$43:$Y$56,M$43,$C$64:$D77)</f>
        <v>1.1670070193793669</v>
      </c>
      <c r="N77" s="26">
        <f ca="1">DSUM($B$43:$Y$56,N$43,$C$64:$D77)</f>
        <v>1.2482037874531191</v>
      </c>
      <c r="O77" s="26">
        <f ca="1">DSUM($B$43:$Y$56,O$43,$C$64:$D77)</f>
        <v>1.3005731292795533</v>
      </c>
      <c r="P77" s="26">
        <f ca="1">DSUM($B$43:$Y$56,P$43,$C$64:$D77)</f>
        <v>1.3262735404649029</v>
      </c>
      <c r="Q77" s="26">
        <f ca="1">DSUM($B$43:$Y$56,Q$43,$C$64:$D77)</f>
        <v>1.3324554826709929</v>
      </c>
      <c r="R77" s="26">
        <f ca="1">DSUM($B$43:$Y$56,R$43,$C$64:$D77)</f>
        <v>1.3520419144963465</v>
      </c>
      <c r="S77" s="26">
        <f ca="1">DSUM($B$43:$Y$56,S$43,$C$64:$D77)</f>
        <v>1.3754914259715647</v>
      </c>
      <c r="T77" s="26">
        <f ca="1">DSUM($B$43:$Y$56,T$43,$C$64:$D77)</f>
        <v>1.3769162368026131</v>
      </c>
      <c r="U77" s="26">
        <f ca="1">DSUM($B$43:$Y$56,U$43,$C$64:$D77)</f>
        <v>1.3398579489066416</v>
      </c>
      <c r="V77" s="26">
        <f ca="1">DSUM($B$43:$Y$56,V$43,$C$64:$D77)</f>
        <v>1.3319589036941279</v>
      </c>
      <c r="W77" s="26">
        <f ca="1">DSUM($B$43:$Y$56,W$43,$C$64:$D77)</f>
        <v>1.3269865606852709</v>
      </c>
      <c r="X77" s="26">
        <f ca="1">DSUM($B$43:$Y$56,X$43,$C$64:$D77)</f>
        <v>1.3311765195618597</v>
      </c>
      <c r="Y77" s="26">
        <f ca="1">DSUM($B$43:$Y$56,Y$43,$C$64:$D77)</f>
        <v>21.374509055883532</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7" t="s">
        <v>116</v>
      </c>
      <c r="C78" s="48" t="s">
        <v>117</v>
      </c>
      <c r="D78" s="48" t="s">
        <v>118</v>
      </c>
      <c r="E78" s="26">
        <f ca="1">DSUM($B$43:$Y$56,E$43,$C$64:$D78)</f>
        <v>0.18630302494274564</v>
      </c>
      <c r="F78" s="26">
        <f ca="1">DSUM($B$43:$Y$56,F$43,$C$64:$D78)</f>
        <v>0.3606580757671165</v>
      </c>
      <c r="G78" s="26">
        <f ca="1">DSUM($B$43:$Y$56,G$43,$C$64:$D78)</f>
        <v>0.52136539994967279</v>
      </c>
      <c r="H78" s="26">
        <f ca="1">DSUM($B$43:$Y$56,H$43,$C$64:$D78)</f>
        <v>0.67278078173883715</v>
      </c>
      <c r="I78" s="26">
        <f ca="1">DSUM($B$43:$Y$56,I$43,$C$64:$D78)</f>
        <v>0.80927315014251344</v>
      </c>
      <c r="J78" s="26">
        <f ca="1">DSUM($B$43:$Y$56,J$43,$C$64:$D78)</f>
        <v>0.91465300914865333</v>
      </c>
      <c r="K78" s="26">
        <f ca="1">DSUM($B$43:$Y$56,K$43,$C$64:$D78)</f>
        <v>1.0046028397001916</v>
      </c>
      <c r="L78" s="26">
        <f ca="1">DSUM($B$43:$Y$56,L$43,$C$64:$D78)</f>
        <v>1.0959303051274436</v>
      </c>
      <c r="M78" s="26">
        <f ca="1">DSUM($B$43:$Y$56,M$43,$C$64:$D78)</f>
        <v>1.1670070193793669</v>
      </c>
      <c r="N78" s="26">
        <f ca="1">DSUM($B$43:$Y$56,N$43,$C$64:$D78)</f>
        <v>1.2482037874531191</v>
      </c>
      <c r="O78" s="26">
        <f ca="1">DSUM($B$43:$Y$56,O$43,$C$64:$D78)</f>
        <v>1.3005731292795533</v>
      </c>
      <c r="P78" s="26">
        <f ca="1">DSUM($B$43:$Y$56,P$43,$C$64:$D78)</f>
        <v>1.3262735404649029</v>
      </c>
      <c r="Q78" s="26">
        <f ca="1">DSUM($B$43:$Y$56,Q$43,$C$64:$D78)</f>
        <v>1.3324554826709929</v>
      </c>
      <c r="R78" s="26">
        <f ca="1">DSUM($B$43:$Y$56,R$43,$C$64:$D78)</f>
        <v>1.3520419144963465</v>
      </c>
      <c r="S78" s="26">
        <f ca="1">DSUM($B$43:$Y$56,S$43,$C$64:$D78)</f>
        <v>1.3754914259715647</v>
      </c>
      <c r="T78" s="26">
        <f ca="1">DSUM($B$43:$Y$56,T$43,$C$64:$D78)</f>
        <v>1.3769162368026131</v>
      </c>
      <c r="U78" s="26">
        <f ca="1">DSUM($B$43:$Y$56,U$43,$C$64:$D78)</f>
        <v>1.3398579489066416</v>
      </c>
      <c r="V78" s="26">
        <f ca="1">DSUM($B$43:$Y$56,V$43,$C$64:$D78)</f>
        <v>1.3319589036941279</v>
      </c>
      <c r="W78" s="26">
        <f ca="1">DSUM($B$43:$Y$56,W$43,$C$64:$D78)</f>
        <v>1.3269865606852709</v>
      </c>
      <c r="X78" s="26">
        <f ca="1">DSUM($B$43:$Y$56,X$43,$C$64:$D78)</f>
        <v>1.3311765195618597</v>
      </c>
      <c r="Y78" s="26">
        <f ca="1">DSUM($B$43:$Y$56,Y$43,$C$64:$D78)</f>
        <v>21.374509055883532</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7" t="s">
        <v>119</v>
      </c>
      <c r="C79" s="48" t="s">
        <v>120</v>
      </c>
      <c r="D79" s="48" t="s">
        <v>121</v>
      </c>
      <c r="E79" s="26">
        <f ca="1">DSUM($B$43:$Y$56,E$43,$C$64:$D79)</f>
        <v>0.18630302494274564</v>
      </c>
      <c r="F79" s="26">
        <f ca="1">DSUM($B$43:$Y$56,F$43,$C$64:$D79)</f>
        <v>0.3606580757671165</v>
      </c>
      <c r="G79" s="26">
        <f ca="1">DSUM($B$43:$Y$56,G$43,$C$64:$D79)</f>
        <v>0.52136539994967279</v>
      </c>
      <c r="H79" s="26">
        <f ca="1">DSUM($B$43:$Y$56,H$43,$C$64:$D79)</f>
        <v>0.67278078173883715</v>
      </c>
      <c r="I79" s="26">
        <f ca="1">DSUM($B$43:$Y$56,I$43,$C$64:$D79)</f>
        <v>0.80927315014251344</v>
      </c>
      <c r="J79" s="26">
        <f ca="1">DSUM($B$43:$Y$56,J$43,$C$64:$D79)</f>
        <v>0.91465300914865333</v>
      </c>
      <c r="K79" s="26">
        <f ca="1">DSUM($B$43:$Y$56,K$43,$C$64:$D79)</f>
        <v>1.0046028397001916</v>
      </c>
      <c r="L79" s="26">
        <f ca="1">DSUM($B$43:$Y$56,L$43,$C$64:$D79)</f>
        <v>1.0959303051274436</v>
      </c>
      <c r="M79" s="26">
        <f ca="1">DSUM($B$43:$Y$56,M$43,$C$64:$D79)</f>
        <v>1.1670070193793669</v>
      </c>
      <c r="N79" s="26">
        <f ca="1">DSUM($B$43:$Y$56,N$43,$C$64:$D79)</f>
        <v>1.2482037874531191</v>
      </c>
      <c r="O79" s="26">
        <f ca="1">DSUM($B$43:$Y$56,O$43,$C$64:$D79)</f>
        <v>1.3005731292795533</v>
      </c>
      <c r="P79" s="26">
        <f ca="1">DSUM($B$43:$Y$56,P$43,$C$64:$D79)</f>
        <v>1.3262735404649029</v>
      </c>
      <c r="Q79" s="26">
        <f ca="1">DSUM($B$43:$Y$56,Q$43,$C$64:$D79)</f>
        <v>1.3324554826709929</v>
      </c>
      <c r="R79" s="26">
        <f ca="1">DSUM($B$43:$Y$56,R$43,$C$64:$D79)</f>
        <v>1.3520419144963465</v>
      </c>
      <c r="S79" s="26">
        <f ca="1">DSUM($B$43:$Y$56,S$43,$C$64:$D79)</f>
        <v>1.3754914259715647</v>
      </c>
      <c r="T79" s="26">
        <f ca="1">DSUM($B$43:$Y$56,T$43,$C$64:$D79)</f>
        <v>1.3769162368026131</v>
      </c>
      <c r="U79" s="26">
        <f ca="1">DSUM($B$43:$Y$56,U$43,$C$64:$D79)</f>
        <v>1.3398579489066416</v>
      </c>
      <c r="V79" s="26">
        <f ca="1">DSUM($B$43:$Y$56,V$43,$C$64:$D79)</f>
        <v>1.3319589036941279</v>
      </c>
      <c r="W79" s="26">
        <f ca="1">DSUM($B$43:$Y$56,W$43,$C$64:$D79)</f>
        <v>1.3269865606852709</v>
      </c>
      <c r="X79" s="26">
        <f ca="1">DSUM($B$43:$Y$56,X$43,$C$64:$D79)</f>
        <v>1.3311765195618597</v>
      </c>
      <c r="Y79" s="26">
        <f ca="1">DSUM($B$43:$Y$56,Y$43,$C$64:$D79)</f>
        <v>21.374509055883532</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7" t="s">
        <v>122</v>
      </c>
      <c r="C80" s="48" t="s">
        <v>123</v>
      </c>
      <c r="D80" s="48" t="s">
        <v>124</v>
      </c>
      <c r="E80" s="26">
        <f ca="1">DSUM($B$43:$Y$56,E$43,$C$64:$D80)</f>
        <v>0.18630302494274564</v>
      </c>
      <c r="F80" s="26">
        <f ca="1">DSUM($B$43:$Y$56,F$43,$C$64:$D80)</f>
        <v>0.3606580757671165</v>
      </c>
      <c r="G80" s="26">
        <f ca="1">DSUM($B$43:$Y$56,G$43,$C$64:$D80)</f>
        <v>0.52136539994967279</v>
      </c>
      <c r="H80" s="26">
        <f ca="1">DSUM($B$43:$Y$56,H$43,$C$64:$D80)</f>
        <v>0.67278078173883715</v>
      </c>
      <c r="I80" s="26">
        <f ca="1">DSUM($B$43:$Y$56,I$43,$C$64:$D80)</f>
        <v>0.80927315014251344</v>
      </c>
      <c r="J80" s="26">
        <f ca="1">DSUM($B$43:$Y$56,J$43,$C$64:$D80)</f>
        <v>0.91465300914865333</v>
      </c>
      <c r="K80" s="26">
        <f ca="1">DSUM($B$43:$Y$56,K$43,$C$64:$D80)</f>
        <v>1.0046028397001916</v>
      </c>
      <c r="L80" s="26">
        <f ca="1">DSUM($B$43:$Y$56,L$43,$C$64:$D80)</f>
        <v>1.0959303051274436</v>
      </c>
      <c r="M80" s="26">
        <f ca="1">DSUM($B$43:$Y$56,M$43,$C$64:$D80)</f>
        <v>1.1670070193793669</v>
      </c>
      <c r="N80" s="26">
        <f ca="1">DSUM($B$43:$Y$56,N$43,$C$64:$D80)</f>
        <v>1.2482037874531191</v>
      </c>
      <c r="O80" s="26">
        <f ca="1">DSUM($B$43:$Y$56,O$43,$C$64:$D80)</f>
        <v>1.3005731292795533</v>
      </c>
      <c r="P80" s="26">
        <f ca="1">DSUM($B$43:$Y$56,P$43,$C$64:$D80)</f>
        <v>1.3262735404649029</v>
      </c>
      <c r="Q80" s="26">
        <f ca="1">DSUM($B$43:$Y$56,Q$43,$C$64:$D80)</f>
        <v>1.3324554826709929</v>
      </c>
      <c r="R80" s="26">
        <f ca="1">DSUM($B$43:$Y$56,R$43,$C$64:$D80)</f>
        <v>1.3520419144963465</v>
      </c>
      <c r="S80" s="26">
        <f ca="1">DSUM($B$43:$Y$56,S$43,$C$64:$D80)</f>
        <v>1.3754914259715647</v>
      </c>
      <c r="T80" s="26">
        <f ca="1">DSUM($B$43:$Y$56,T$43,$C$64:$D80)</f>
        <v>1.3769162368026131</v>
      </c>
      <c r="U80" s="26">
        <f ca="1">DSUM($B$43:$Y$56,U$43,$C$64:$D80)</f>
        <v>1.3398579489066416</v>
      </c>
      <c r="V80" s="26">
        <f ca="1">DSUM($B$43:$Y$56,V$43,$C$64:$D80)</f>
        <v>1.3319589036941279</v>
      </c>
      <c r="W80" s="26">
        <f ca="1">DSUM($B$43:$Y$56,W$43,$C$64:$D80)</f>
        <v>1.3269865606852709</v>
      </c>
      <c r="X80" s="26">
        <f ca="1">DSUM($B$43:$Y$56,X$43,$C$64:$D80)</f>
        <v>1.3311765195618597</v>
      </c>
      <c r="Y80" s="26">
        <f ca="1">DSUM($B$43:$Y$56,Y$43,$C$64:$D80)</f>
        <v>21.374509055883532</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2:80">
      <c r="B81" s="7" t="s">
        <v>125</v>
      </c>
      <c r="C81" s="48" t="s">
        <v>126</v>
      </c>
      <c r="D81" s="48" t="s">
        <v>127</v>
      </c>
      <c r="E81" s="26">
        <f ca="1">DSUM($B$43:$Y$56,E$43,$C$64:$D81)</f>
        <v>0.18630302494274564</v>
      </c>
      <c r="F81" s="26">
        <f ca="1">DSUM($B$43:$Y$56,F$43,$C$64:$D81)</f>
        <v>0.3606580757671165</v>
      </c>
      <c r="G81" s="26">
        <f ca="1">DSUM($B$43:$Y$56,G$43,$C$64:$D81)</f>
        <v>0.52136539994967279</v>
      </c>
      <c r="H81" s="26">
        <f ca="1">DSUM($B$43:$Y$56,H$43,$C$64:$D81)</f>
        <v>0.67278078173883715</v>
      </c>
      <c r="I81" s="26">
        <f ca="1">DSUM($B$43:$Y$56,I$43,$C$64:$D81)</f>
        <v>0.80927315014251344</v>
      </c>
      <c r="J81" s="26">
        <f ca="1">DSUM($B$43:$Y$56,J$43,$C$64:$D81)</f>
        <v>0.91465300914865333</v>
      </c>
      <c r="K81" s="26">
        <f ca="1">DSUM($B$43:$Y$56,K$43,$C$64:$D81)</f>
        <v>1.0046028397001916</v>
      </c>
      <c r="L81" s="26">
        <f ca="1">DSUM($B$43:$Y$56,L$43,$C$64:$D81)</f>
        <v>1.0959303051274436</v>
      </c>
      <c r="M81" s="26">
        <f ca="1">DSUM($B$43:$Y$56,M$43,$C$64:$D81)</f>
        <v>1.1670070193793669</v>
      </c>
      <c r="N81" s="26">
        <f ca="1">DSUM($B$43:$Y$56,N$43,$C$64:$D81)</f>
        <v>1.2482037874531191</v>
      </c>
      <c r="O81" s="26">
        <f ca="1">DSUM($B$43:$Y$56,O$43,$C$64:$D81)</f>
        <v>1.3005731292795533</v>
      </c>
      <c r="P81" s="26">
        <f ca="1">DSUM($B$43:$Y$56,P$43,$C$64:$D81)</f>
        <v>1.3262735404649029</v>
      </c>
      <c r="Q81" s="26">
        <f ca="1">DSUM($B$43:$Y$56,Q$43,$C$64:$D81)</f>
        <v>1.3324554826709929</v>
      </c>
      <c r="R81" s="26">
        <f ca="1">DSUM($B$43:$Y$56,R$43,$C$64:$D81)</f>
        <v>1.3520419144963465</v>
      </c>
      <c r="S81" s="26">
        <f ca="1">DSUM($B$43:$Y$56,S$43,$C$64:$D81)</f>
        <v>1.3754914259715647</v>
      </c>
      <c r="T81" s="26">
        <f ca="1">DSUM($B$43:$Y$56,T$43,$C$64:$D81)</f>
        <v>1.3769162368026131</v>
      </c>
      <c r="U81" s="26">
        <f ca="1">DSUM($B$43:$Y$56,U$43,$C$64:$D81)</f>
        <v>1.3398579489066416</v>
      </c>
      <c r="V81" s="26">
        <f ca="1">DSUM($B$43:$Y$56,V$43,$C$64:$D81)</f>
        <v>1.3319589036941279</v>
      </c>
      <c r="W81" s="26">
        <f ca="1">DSUM($B$43:$Y$56,W$43,$C$64:$D81)</f>
        <v>1.3269865606852709</v>
      </c>
      <c r="X81" s="26">
        <f ca="1">DSUM($B$43:$Y$56,X$43,$C$64:$D81)</f>
        <v>1.3311765195618597</v>
      </c>
      <c r="Y81" s="26">
        <f ca="1">DSUM($B$43:$Y$56,Y$43,$C$64:$D81)</f>
        <v>21.374509055883532</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2:80">
      <c r="B82" s="7" t="s">
        <v>128</v>
      </c>
      <c r="C82" s="48" t="s">
        <v>129</v>
      </c>
      <c r="D82" s="48" t="s">
        <v>130</v>
      </c>
      <c r="E82" s="26">
        <f ca="1">DSUM($B$43:$Y$56,E$43,$C$64:$D82)</f>
        <v>0.18630302494274564</v>
      </c>
      <c r="F82" s="26">
        <f ca="1">DSUM($B$43:$Y$56,F$43,$C$64:$D82)</f>
        <v>0.3606580757671165</v>
      </c>
      <c r="G82" s="26">
        <f ca="1">DSUM($B$43:$Y$56,G$43,$C$64:$D82)</f>
        <v>0.52136539994967279</v>
      </c>
      <c r="H82" s="26">
        <f ca="1">DSUM($B$43:$Y$56,H$43,$C$64:$D82)</f>
        <v>0.67278078173883715</v>
      </c>
      <c r="I82" s="26">
        <f ca="1">DSUM($B$43:$Y$56,I$43,$C$64:$D82)</f>
        <v>0.80927315014251344</v>
      </c>
      <c r="J82" s="26">
        <f ca="1">DSUM($B$43:$Y$56,J$43,$C$64:$D82)</f>
        <v>0.91465300914865333</v>
      </c>
      <c r="K82" s="26">
        <f ca="1">DSUM($B$43:$Y$56,K$43,$C$64:$D82)</f>
        <v>1.0046028397001916</v>
      </c>
      <c r="L82" s="26">
        <f ca="1">DSUM($B$43:$Y$56,L$43,$C$64:$D82)</f>
        <v>1.0959303051274436</v>
      </c>
      <c r="M82" s="26">
        <f ca="1">DSUM($B$43:$Y$56,M$43,$C$64:$D82)</f>
        <v>1.1670070193793669</v>
      </c>
      <c r="N82" s="26">
        <f ca="1">DSUM($B$43:$Y$56,N$43,$C$64:$D82)</f>
        <v>1.2482037874531191</v>
      </c>
      <c r="O82" s="26">
        <f ca="1">DSUM($B$43:$Y$56,O$43,$C$64:$D82)</f>
        <v>1.3005731292795533</v>
      </c>
      <c r="P82" s="26">
        <f ca="1">DSUM($B$43:$Y$56,P$43,$C$64:$D82)</f>
        <v>1.3262735404649029</v>
      </c>
      <c r="Q82" s="26">
        <f ca="1">DSUM($B$43:$Y$56,Q$43,$C$64:$D82)</f>
        <v>1.3324554826709929</v>
      </c>
      <c r="R82" s="26">
        <f ca="1">DSUM($B$43:$Y$56,R$43,$C$64:$D82)</f>
        <v>1.3520419144963465</v>
      </c>
      <c r="S82" s="26">
        <f ca="1">DSUM($B$43:$Y$56,S$43,$C$64:$D82)</f>
        <v>1.3754914259715647</v>
      </c>
      <c r="T82" s="26">
        <f ca="1">DSUM($B$43:$Y$56,T$43,$C$64:$D82)</f>
        <v>1.3769162368026131</v>
      </c>
      <c r="U82" s="26">
        <f ca="1">DSUM($B$43:$Y$56,U$43,$C$64:$D82)</f>
        <v>1.3398579489066416</v>
      </c>
      <c r="V82" s="26">
        <f ca="1">DSUM($B$43:$Y$56,V$43,$C$64:$D82)</f>
        <v>1.3319589036941279</v>
      </c>
      <c r="W82" s="26">
        <f ca="1">DSUM($B$43:$Y$56,W$43,$C$64:$D82)</f>
        <v>1.3269865606852709</v>
      </c>
      <c r="X82" s="26">
        <f ca="1">DSUM($B$43:$Y$56,X$43,$C$64:$D82)</f>
        <v>1.3311765195618597</v>
      </c>
      <c r="Y82" s="26">
        <f ca="1">DSUM($B$43:$Y$56,Y$43,$C$64:$D82)</f>
        <v>21.374509055883532</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2:80">
      <c r="B83" s="7" t="s">
        <v>131</v>
      </c>
      <c r="C83" s="48" t="s">
        <v>132</v>
      </c>
      <c r="D83" s="48" t="s">
        <v>133</v>
      </c>
      <c r="E83" s="26">
        <f ca="1">DSUM($B$43:$Y$56,E$43,$C$64:$D83)</f>
        <v>0.18630302494274564</v>
      </c>
      <c r="F83" s="26">
        <f ca="1">DSUM($B$43:$Y$56,F$43,$C$64:$D83)</f>
        <v>0.3606580757671165</v>
      </c>
      <c r="G83" s="26">
        <f ca="1">DSUM($B$43:$Y$56,G$43,$C$64:$D83)</f>
        <v>0.52136539994967279</v>
      </c>
      <c r="H83" s="26">
        <f ca="1">DSUM($B$43:$Y$56,H$43,$C$64:$D83)</f>
        <v>0.67278078173883715</v>
      </c>
      <c r="I83" s="26">
        <f ca="1">DSUM($B$43:$Y$56,I$43,$C$64:$D83)</f>
        <v>0.80927315014251344</v>
      </c>
      <c r="J83" s="26">
        <f ca="1">DSUM($B$43:$Y$56,J$43,$C$64:$D83)</f>
        <v>0.91465300914865333</v>
      </c>
      <c r="K83" s="26">
        <f ca="1">DSUM($B$43:$Y$56,K$43,$C$64:$D83)</f>
        <v>1.0046028397001916</v>
      </c>
      <c r="L83" s="26">
        <f ca="1">DSUM($B$43:$Y$56,L$43,$C$64:$D83)</f>
        <v>1.0959303051274436</v>
      </c>
      <c r="M83" s="26">
        <f ca="1">DSUM($B$43:$Y$56,M$43,$C$64:$D83)</f>
        <v>1.1670070193793669</v>
      </c>
      <c r="N83" s="26">
        <f ca="1">DSUM($B$43:$Y$56,N$43,$C$64:$D83)</f>
        <v>1.2482037874531191</v>
      </c>
      <c r="O83" s="26">
        <f ca="1">DSUM($B$43:$Y$56,O$43,$C$64:$D83)</f>
        <v>1.3005731292795533</v>
      </c>
      <c r="P83" s="26">
        <f ca="1">DSUM($B$43:$Y$56,P$43,$C$64:$D83)</f>
        <v>1.3262735404649029</v>
      </c>
      <c r="Q83" s="26">
        <f ca="1">DSUM($B$43:$Y$56,Q$43,$C$64:$D83)</f>
        <v>1.3324554826709929</v>
      </c>
      <c r="R83" s="26">
        <f ca="1">DSUM($B$43:$Y$56,R$43,$C$64:$D83)</f>
        <v>1.3520419144963465</v>
      </c>
      <c r="S83" s="26">
        <f ca="1">DSUM($B$43:$Y$56,S$43,$C$64:$D83)</f>
        <v>1.3754914259715647</v>
      </c>
      <c r="T83" s="26">
        <f ca="1">DSUM($B$43:$Y$56,T$43,$C$64:$D83)</f>
        <v>1.3769162368026131</v>
      </c>
      <c r="U83" s="26">
        <f ca="1">DSUM($B$43:$Y$56,U$43,$C$64:$D83)</f>
        <v>1.3398579489066416</v>
      </c>
      <c r="V83" s="26">
        <f ca="1">DSUM($B$43:$Y$56,V$43,$C$64:$D83)</f>
        <v>1.3319589036941279</v>
      </c>
      <c r="W83" s="26">
        <f ca="1">DSUM($B$43:$Y$56,W$43,$C$64:$D83)</f>
        <v>1.3269865606852709</v>
      </c>
      <c r="X83" s="26">
        <f ca="1">DSUM($B$43:$Y$56,X$43,$C$64:$D83)</f>
        <v>1.3311765195618597</v>
      </c>
      <c r="Y83" s="26">
        <f ca="1">DSUM($B$43:$Y$56,Y$43,$C$64:$D83)</f>
        <v>21.374509055883532</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2:80">
      <c r="B84" s="7" t="s">
        <v>134</v>
      </c>
      <c r="C84" s="48" t="s">
        <v>135</v>
      </c>
      <c r="D84" s="48" t="s">
        <v>136</v>
      </c>
      <c r="E84" s="26">
        <f ca="1">DSUM($B$43:$Y$56,E$43,$C$64:$D84)</f>
        <v>0.18630302494274564</v>
      </c>
      <c r="F84" s="26">
        <f ca="1">DSUM($B$43:$Y$56,F$43,$C$64:$D84)</f>
        <v>0.3606580757671165</v>
      </c>
      <c r="G84" s="26">
        <f ca="1">DSUM($B$43:$Y$56,G$43,$C$64:$D84)</f>
        <v>0.52136539994967279</v>
      </c>
      <c r="H84" s="26">
        <f ca="1">DSUM($B$43:$Y$56,H$43,$C$64:$D84)</f>
        <v>0.67278078173883715</v>
      </c>
      <c r="I84" s="26">
        <f ca="1">DSUM($B$43:$Y$56,I$43,$C$64:$D84)</f>
        <v>0.80927315014251344</v>
      </c>
      <c r="J84" s="26">
        <f ca="1">DSUM($B$43:$Y$56,J$43,$C$64:$D84)</f>
        <v>0.91465300914865333</v>
      </c>
      <c r="K84" s="26">
        <f ca="1">DSUM($B$43:$Y$56,K$43,$C$64:$D84)</f>
        <v>1.0046028397001916</v>
      </c>
      <c r="L84" s="26">
        <f ca="1">DSUM($B$43:$Y$56,L$43,$C$64:$D84)</f>
        <v>1.0959303051274436</v>
      </c>
      <c r="M84" s="26">
        <f ca="1">DSUM($B$43:$Y$56,M$43,$C$64:$D84)</f>
        <v>1.1670070193793669</v>
      </c>
      <c r="N84" s="26">
        <f ca="1">DSUM($B$43:$Y$56,N$43,$C$64:$D84)</f>
        <v>1.2482037874531191</v>
      </c>
      <c r="O84" s="26">
        <f ca="1">DSUM($B$43:$Y$56,O$43,$C$64:$D84)</f>
        <v>1.3005731292795533</v>
      </c>
      <c r="P84" s="26">
        <f ca="1">DSUM($B$43:$Y$56,P$43,$C$64:$D84)</f>
        <v>1.3262735404649029</v>
      </c>
      <c r="Q84" s="26">
        <f ca="1">DSUM($B$43:$Y$56,Q$43,$C$64:$D84)</f>
        <v>1.3324554826709929</v>
      </c>
      <c r="R84" s="26">
        <f ca="1">DSUM($B$43:$Y$56,R$43,$C$64:$D84)</f>
        <v>1.3520419144963465</v>
      </c>
      <c r="S84" s="26">
        <f ca="1">DSUM($B$43:$Y$56,S$43,$C$64:$D84)</f>
        <v>1.3754914259715647</v>
      </c>
      <c r="T84" s="26">
        <f ca="1">DSUM($B$43:$Y$56,T$43,$C$64:$D84)</f>
        <v>1.3769162368026131</v>
      </c>
      <c r="U84" s="26">
        <f ca="1">DSUM($B$43:$Y$56,U$43,$C$64:$D84)</f>
        <v>1.3398579489066416</v>
      </c>
      <c r="V84" s="26">
        <f ca="1">DSUM($B$43:$Y$56,V$43,$C$64:$D84)</f>
        <v>1.3319589036941279</v>
      </c>
      <c r="W84" s="26">
        <f ca="1">DSUM($B$43:$Y$56,W$43,$C$64:$D84)</f>
        <v>1.3269865606852709</v>
      </c>
      <c r="X84" s="26">
        <f ca="1">DSUM($B$43:$Y$56,X$43,$C$64:$D84)</f>
        <v>1.3311765195618597</v>
      </c>
      <c r="Y84" s="26">
        <f ca="1">DSUM($B$43:$Y$56,Y$43,$C$64:$D84)</f>
        <v>21.374509055883532</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2:80">
      <c r="B85" s="7" t="s">
        <v>137</v>
      </c>
      <c r="C85" s="48" t="s">
        <v>138</v>
      </c>
      <c r="D85" s="48" t="s">
        <v>139</v>
      </c>
      <c r="E85" s="26">
        <f ca="1">DSUM($B$43:$Y$56,E$43,$C$64:$D85)</f>
        <v>0.18630302494274564</v>
      </c>
      <c r="F85" s="26">
        <f ca="1">DSUM($B$43:$Y$56,F$43,$C$64:$D85)</f>
        <v>0.3606580757671165</v>
      </c>
      <c r="G85" s="26">
        <f ca="1">DSUM($B$43:$Y$56,G$43,$C$64:$D85)</f>
        <v>0.52136539994967279</v>
      </c>
      <c r="H85" s="26">
        <f ca="1">DSUM($B$43:$Y$56,H$43,$C$64:$D85)</f>
        <v>0.67278078173883715</v>
      </c>
      <c r="I85" s="26">
        <f ca="1">DSUM($B$43:$Y$56,I$43,$C$64:$D85)</f>
        <v>0.80927315014251344</v>
      </c>
      <c r="J85" s="26">
        <f ca="1">DSUM($B$43:$Y$56,J$43,$C$64:$D85)</f>
        <v>0.91465300914865333</v>
      </c>
      <c r="K85" s="26">
        <f ca="1">DSUM($B$43:$Y$56,K$43,$C$64:$D85)</f>
        <v>1.0046028397001916</v>
      </c>
      <c r="L85" s="26">
        <f ca="1">DSUM($B$43:$Y$56,L$43,$C$64:$D85)</f>
        <v>1.0959303051274436</v>
      </c>
      <c r="M85" s="26">
        <f ca="1">DSUM($B$43:$Y$56,M$43,$C$64:$D85)</f>
        <v>1.1670070193793669</v>
      </c>
      <c r="N85" s="26">
        <f ca="1">DSUM($B$43:$Y$56,N$43,$C$64:$D85)</f>
        <v>1.2482037874531191</v>
      </c>
      <c r="O85" s="26">
        <f ca="1">DSUM($B$43:$Y$56,O$43,$C$64:$D85)</f>
        <v>1.3005731292795533</v>
      </c>
      <c r="P85" s="26">
        <f ca="1">DSUM($B$43:$Y$56,P$43,$C$64:$D85)</f>
        <v>1.3262735404649029</v>
      </c>
      <c r="Q85" s="26">
        <f ca="1">DSUM($B$43:$Y$56,Q$43,$C$64:$D85)</f>
        <v>1.3324554826709929</v>
      </c>
      <c r="R85" s="26">
        <f ca="1">DSUM($B$43:$Y$56,R$43,$C$64:$D85)</f>
        <v>1.3520419144963465</v>
      </c>
      <c r="S85" s="26">
        <f ca="1">DSUM($B$43:$Y$56,S$43,$C$64:$D85)</f>
        <v>1.3754914259715647</v>
      </c>
      <c r="T85" s="26">
        <f ca="1">DSUM($B$43:$Y$56,T$43,$C$64:$D85)</f>
        <v>1.3769162368026131</v>
      </c>
      <c r="U85" s="26">
        <f ca="1">DSUM($B$43:$Y$56,U$43,$C$64:$D85)</f>
        <v>1.3398579489066416</v>
      </c>
      <c r="V85" s="26">
        <f ca="1">DSUM($B$43:$Y$56,V$43,$C$64:$D85)</f>
        <v>1.3319589036941279</v>
      </c>
      <c r="W85" s="26">
        <f ca="1">DSUM($B$43:$Y$56,W$43,$C$64:$D85)</f>
        <v>1.3269865606852709</v>
      </c>
      <c r="X85" s="26">
        <f ca="1">DSUM($B$43:$Y$56,X$43,$C$64:$D85)</f>
        <v>1.3311765195618597</v>
      </c>
      <c r="Y85" s="26">
        <f ca="1">DSUM($B$43:$Y$56,Y$43,$C$64:$D85)</f>
        <v>21.374509055883532</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2:80">
      <c r="B86" s="7" t="s">
        <v>558</v>
      </c>
      <c r="C86" s="48" t="s">
        <v>141</v>
      </c>
      <c r="D86" s="48" t="s">
        <v>559</v>
      </c>
      <c r="E86" s="26">
        <f ca="1">DSUM($B$43:$Y$56,E$43,$C$64:$D86)</f>
        <v>0.18630302494274564</v>
      </c>
      <c r="F86" s="26">
        <f ca="1">DSUM($B$43:$Y$56,F$43,$C$64:$D86)</f>
        <v>0.3606580757671165</v>
      </c>
      <c r="G86" s="26">
        <f ca="1">DSUM($B$43:$Y$56,G$43,$C$64:$D86)</f>
        <v>0.52136539994967279</v>
      </c>
      <c r="H86" s="26">
        <f ca="1">DSUM($B$43:$Y$56,H$43,$C$64:$D86)</f>
        <v>0.67278078173883715</v>
      </c>
      <c r="I86" s="26">
        <f ca="1">DSUM($B$43:$Y$56,I$43,$C$64:$D86)</f>
        <v>0.80927315014251344</v>
      </c>
      <c r="J86" s="26">
        <f ca="1">DSUM($B$43:$Y$56,J$43,$C$64:$D86)</f>
        <v>0.91465300914865333</v>
      </c>
      <c r="K86" s="26">
        <f ca="1">DSUM($B$43:$Y$56,K$43,$C$64:$D86)</f>
        <v>1.0046028397001916</v>
      </c>
      <c r="L86" s="26">
        <f ca="1">DSUM($B$43:$Y$56,L$43,$C$64:$D86)</f>
        <v>1.0959303051274436</v>
      </c>
      <c r="M86" s="26">
        <f ca="1">DSUM($B$43:$Y$56,M$43,$C$64:$D86)</f>
        <v>1.1670070193793669</v>
      </c>
      <c r="N86" s="26">
        <f ca="1">DSUM($B$43:$Y$56,N$43,$C$64:$D86)</f>
        <v>1.2482037874531191</v>
      </c>
      <c r="O86" s="26">
        <f ca="1">DSUM($B$43:$Y$56,O$43,$C$64:$D86)</f>
        <v>1.3005731292795533</v>
      </c>
      <c r="P86" s="26">
        <f ca="1">DSUM($B$43:$Y$56,P$43,$C$64:$D86)</f>
        <v>1.3262735404649029</v>
      </c>
      <c r="Q86" s="26">
        <f ca="1">DSUM($B$43:$Y$56,Q$43,$C$64:$D86)</f>
        <v>1.3324554826709929</v>
      </c>
      <c r="R86" s="26">
        <f ca="1">DSUM($B$43:$Y$56,R$43,$C$64:$D86)</f>
        <v>1.3520419144963465</v>
      </c>
      <c r="S86" s="26">
        <f ca="1">DSUM($B$43:$Y$56,S$43,$C$64:$D86)</f>
        <v>1.3754914259715647</v>
      </c>
      <c r="T86" s="26">
        <f ca="1">DSUM($B$43:$Y$56,T$43,$C$64:$D86)</f>
        <v>1.3769162368026131</v>
      </c>
      <c r="U86" s="26">
        <f ca="1">DSUM($B$43:$Y$56,U$43,$C$64:$D86)</f>
        <v>1.3398579489066416</v>
      </c>
      <c r="V86" s="26">
        <f ca="1">DSUM($B$43:$Y$56,V$43,$C$64:$D86)</f>
        <v>1.3319589036941279</v>
      </c>
      <c r="W86" s="26">
        <f ca="1">DSUM($B$43:$Y$56,W$43,$C$64:$D86)</f>
        <v>1.3269865606852709</v>
      </c>
      <c r="X86" s="26">
        <f ca="1">DSUM($B$43:$Y$56,X$43,$C$64:$D86)</f>
        <v>1.3311765195618597</v>
      </c>
      <c r="Y86" s="26">
        <f ca="1">DSUM($B$43:$Y$56,Y$43,$C$64:$D86)</f>
        <v>21.374509055883532</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2:80">
      <c r="B87" s="7" t="s">
        <v>560</v>
      </c>
      <c r="C87" s="48" t="s">
        <v>561</v>
      </c>
      <c r="D87" s="48" t="s">
        <v>562</v>
      </c>
      <c r="E87" s="26">
        <f ca="1">DSUM($B$43:$Y$56,E$43,$C$64:$D87)</f>
        <v>0.18630302494274564</v>
      </c>
      <c r="F87" s="26">
        <f ca="1">DSUM($B$43:$Y$56,F$43,$C$64:$D87)</f>
        <v>0.3606580757671165</v>
      </c>
      <c r="G87" s="26">
        <f ca="1">DSUM($B$43:$Y$56,G$43,$C$64:$D87)</f>
        <v>0.52136539994967279</v>
      </c>
      <c r="H87" s="26">
        <f ca="1">DSUM($B$43:$Y$56,H$43,$C$64:$D87)</f>
        <v>0.67278078173883715</v>
      </c>
      <c r="I87" s="26">
        <f ca="1">DSUM($B$43:$Y$56,I$43,$C$64:$D87)</f>
        <v>0.80927315014251344</v>
      </c>
      <c r="J87" s="26">
        <f ca="1">DSUM($B$43:$Y$56,J$43,$C$64:$D87)</f>
        <v>0.91465300914865333</v>
      </c>
      <c r="K87" s="26">
        <f ca="1">DSUM($B$43:$Y$56,K$43,$C$64:$D87)</f>
        <v>1.0046028397001916</v>
      </c>
      <c r="L87" s="26">
        <f ca="1">DSUM($B$43:$Y$56,L$43,$C$64:$D87)</f>
        <v>1.0959303051274436</v>
      </c>
      <c r="M87" s="26">
        <f ca="1">DSUM($B$43:$Y$56,M$43,$C$64:$D87)</f>
        <v>1.1670070193793669</v>
      </c>
      <c r="N87" s="26">
        <f ca="1">DSUM($B$43:$Y$56,N$43,$C$64:$D87)</f>
        <v>1.2482037874531191</v>
      </c>
      <c r="O87" s="26">
        <f ca="1">DSUM($B$43:$Y$56,O$43,$C$64:$D87)</f>
        <v>1.3005731292795533</v>
      </c>
      <c r="P87" s="26">
        <f ca="1">DSUM($B$43:$Y$56,P$43,$C$64:$D87)</f>
        <v>1.3262735404649029</v>
      </c>
      <c r="Q87" s="26">
        <f ca="1">DSUM($B$43:$Y$56,Q$43,$C$64:$D87)</f>
        <v>1.3324554826709929</v>
      </c>
      <c r="R87" s="26">
        <f ca="1">DSUM($B$43:$Y$56,R$43,$C$64:$D87)</f>
        <v>1.3520419144963465</v>
      </c>
      <c r="S87" s="26">
        <f ca="1">DSUM($B$43:$Y$56,S$43,$C$64:$D87)</f>
        <v>1.3754914259715647</v>
      </c>
      <c r="T87" s="26">
        <f ca="1">DSUM($B$43:$Y$56,T$43,$C$64:$D87)</f>
        <v>1.3769162368026131</v>
      </c>
      <c r="U87" s="26">
        <f ca="1">DSUM($B$43:$Y$56,U$43,$C$64:$D87)</f>
        <v>1.3398579489066416</v>
      </c>
      <c r="V87" s="26">
        <f ca="1">DSUM($B$43:$Y$56,V$43,$C$64:$D87)</f>
        <v>1.3319589036941279</v>
      </c>
      <c r="W87" s="26">
        <f ca="1">DSUM($B$43:$Y$56,W$43,$C$64:$D87)</f>
        <v>1.3269865606852709</v>
      </c>
      <c r="X87" s="26">
        <f ca="1">DSUM($B$43:$Y$56,X$43,$C$64:$D87)</f>
        <v>1.3311765195618597</v>
      </c>
      <c r="Y87" s="26">
        <f ca="1">DSUM($B$43:$Y$56,Y$43,$C$64:$D87)</f>
        <v>21.374509055883532</v>
      </c>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2:80">
      <c r="B88" s="7" t="s">
        <v>563</v>
      </c>
      <c r="C88" s="48" t="s">
        <v>564</v>
      </c>
      <c r="D88" s="48" t="s">
        <v>565</v>
      </c>
      <c r="E88" s="26">
        <f ca="1">DSUM($B$43:$Y$56,E$43,$C$64:$D88)</f>
        <v>0.18630302494274564</v>
      </c>
      <c r="F88" s="26">
        <f ca="1">DSUM($B$43:$Y$56,F$43,$C$64:$D88)</f>
        <v>0.3606580757671165</v>
      </c>
      <c r="G88" s="26">
        <f ca="1">DSUM($B$43:$Y$56,G$43,$C$64:$D88)</f>
        <v>0.52136539994967279</v>
      </c>
      <c r="H88" s="26">
        <f ca="1">DSUM($B$43:$Y$56,H$43,$C$64:$D88)</f>
        <v>0.67278078173883715</v>
      </c>
      <c r="I88" s="26">
        <f ca="1">DSUM($B$43:$Y$56,I$43,$C$64:$D88)</f>
        <v>0.80927315014251344</v>
      </c>
      <c r="J88" s="26">
        <f ca="1">DSUM($B$43:$Y$56,J$43,$C$64:$D88)</f>
        <v>0.91465300914865333</v>
      </c>
      <c r="K88" s="26">
        <f ca="1">DSUM($B$43:$Y$56,K$43,$C$64:$D88)</f>
        <v>1.0046028397001916</v>
      </c>
      <c r="L88" s="26">
        <f ca="1">DSUM($B$43:$Y$56,L$43,$C$64:$D88)</f>
        <v>1.0959303051274436</v>
      </c>
      <c r="M88" s="26">
        <f ca="1">DSUM($B$43:$Y$56,M$43,$C$64:$D88)</f>
        <v>1.1670070193793669</v>
      </c>
      <c r="N88" s="26">
        <f ca="1">DSUM($B$43:$Y$56,N$43,$C$64:$D88)</f>
        <v>1.2482037874531191</v>
      </c>
      <c r="O88" s="26">
        <f ca="1">DSUM($B$43:$Y$56,O$43,$C$64:$D88)</f>
        <v>1.3005731292795533</v>
      </c>
      <c r="P88" s="26">
        <f ca="1">DSUM($B$43:$Y$56,P$43,$C$64:$D88)</f>
        <v>1.3262735404649029</v>
      </c>
      <c r="Q88" s="26">
        <f ca="1">DSUM($B$43:$Y$56,Q$43,$C$64:$D88)</f>
        <v>1.3324554826709929</v>
      </c>
      <c r="R88" s="26">
        <f ca="1">DSUM($B$43:$Y$56,R$43,$C$64:$D88)</f>
        <v>1.3520419144963465</v>
      </c>
      <c r="S88" s="26">
        <f ca="1">DSUM($B$43:$Y$56,S$43,$C$64:$D88)</f>
        <v>1.3754914259715647</v>
      </c>
      <c r="T88" s="26">
        <f ca="1">DSUM($B$43:$Y$56,T$43,$C$64:$D88)</f>
        <v>1.3769162368026131</v>
      </c>
      <c r="U88" s="26">
        <f ca="1">DSUM($B$43:$Y$56,U$43,$C$64:$D88)</f>
        <v>1.3398579489066416</v>
      </c>
      <c r="V88" s="26">
        <f ca="1">DSUM($B$43:$Y$56,V$43,$C$64:$D88)</f>
        <v>1.3319589036941279</v>
      </c>
      <c r="W88" s="26">
        <f ca="1">DSUM($B$43:$Y$56,W$43,$C$64:$D88)</f>
        <v>1.3269865606852709</v>
      </c>
      <c r="X88" s="26">
        <f ca="1">DSUM($B$43:$Y$56,X$43,$C$64:$D88)</f>
        <v>1.3311765195618597</v>
      </c>
      <c r="Y88" s="26">
        <f ca="1">DSUM($B$43:$Y$56,Y$43,$C$64:$D88)</f>
        <v>21.374509055883532</v>
      </c>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2:80">
      <c r="B89" s="7" t="s">
        <v>566</v>
      </c>
      <c r="C89" s="48" t="s">
        <v>567</v>
      </c>
      <c r="D89" s="48" t="s">
        <v>568</v>
      </c>
      <c r="E89" s="26">
        <f ca="1">DSUM($B$43:$Y$56,E$43,$C$64:$D89)</f>
        <v>0.18630302494274564</v>
      </c>
      <c r="F89" s="26">
        <f ca="1">DSUM($B$43:$Y$56,F$43,$C$64:$D89)</f>
        <v>0.3606580757671165</v>
      </c>
      <c r="G89" s="26">
        <f ca="1">DSUM($B$43:$Y$56,G$43,$C$64:$D89)</f>
        <v>0.52136539994967279</v>
      </c>
      <c r="H89" s="26">
        <f ca="1">DSUM($B$43:$Y$56,H$43,$C$64:$D89)</f>
        <v>0.67278078173883715</v>
      </c>
      <c r="I89" s="26">
        <f ca="1">DSUM($B$43:$Y$56,I$43,$C$64:$D89)</f>
        <v>0.80927315014251344</v>
      </c>
      <c r="J89" s="26">
        <f ca="1">DSUM($B$43:$Y$56,J$43,$C$64:$D89)</f>
        <v>0.91465300914865333</v>
      </c>
      <c r="K89" s="26">
        <f ca="1">DSUM($B$43:$Y$56,K$43,$C$64:$D89)</f>
        <v>1.0046028397001916</v>
      </c>
      <c r="L89" s="26">
        <f ca="1">DSUM($B$43:$Y$56,L$43,$C$64:$D89)</f>
        <v>1.0959303051274436</v>
      </c>
      <c r="M89" s="26">
        <f ca="1">DSUM($B$43:$Y$56,M$43,$C$64:$D89)</f>
        <v>1.1670070193793669</v>
      </c>
      <c r="N89" s="26">
        <f ca="1">DSUM($B$43:$Y$56,N$43,$C$64:$D89)</f>
        <v>1.2482037874531191</v>
      </c>
      <c r="O89" s="26">
        <f ca="1">DSUM($B$43:$Y$56,O$43,$C$64:$D89)</f>
        <v>1.3005731292795533</v>
      </c>
      <c r="P89" s="26">
        <f ca="1">DSUM($B$43:$Y$56,P$43,$C$64:$D89)</f>
        <v>1.3262735404649029</v>
      </c>
      <c r="Q89" s="26">
        <f ca="1">DSUM($B$43:$Y$56,Q$43,$C$64:$D89)</f>
        <v>1.3324554826709929</v>
      </c>
      <c r="R89" s="26">
        <f ca="1">DSUM($B$43:$Y$56,R$43,$C$64:$D89)</f>
        <v>1.3520419144963465</v>
      </c>
      <c r="S89" s="26">
        <f ca="1">DSUM($B$43:$Y$56,S$43,$C$64:$D89)</f>
        <v>1.3754914259715647</v>
      </c>
      <c r="T89" s="26">
        <f ca="1">DSUM($B$43:$Y$56,T$43,$C$64:$D89)</f>
        <v>1.3769162368026131</v>
      </c>
      <c r="U89" s="26">
        <f ca="1">DSUM($B$43:$Y$56,U$43,$C$64:$D89)</f>
        <v>1.3398579489066416</v>
      </c>
      <c r="V89" s="26">
        <f ca="1">DSUM($B$43:$Y$56,V$43,$C$64:$D89)</f>
        <v>1.3319589036941279</v>
      </c>
      <c r="W89" s="26">
        <f ca="1">DSUM($B$43:$Y$56,W$43,$C$64:$D89)</f>
        <v>1.3269865606852709</v>
      </c>
      <c r="X89" s="26">
        <f ca="1">DSUM($B$43:$Y$56,X$43,$C$64:$D89)</f>
        <v>1.3311765195618597</v>
      </c>
      <c r="Y89" s="26">
        <f ca="1">DSUM($B$43:$Y$56,Y$43,$C$64:$D89)</f>
        <v>21.374509055883532</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2:80">
      <c r="B90" s="7" t="s">
        <v>569</v>
      </c>
      <c r="C90" s="48" t="s">
        <v>570</v>
      </c>
      <c r="D90" s="48" t="s">
        <v>571</v>
      </c>
      <c r="E90" s="26">
        <f ca="1">DSUM($B$43:$Y$56,E$43,$C$64:$D90)</f>
        <v>0.18630302494274564</v>
      </c>
      <c r="F90" s="26">
        <f ca="1">DSUM($B$43:$Y$56,F$43,$C$64:$D90)</f>
        <v>0.3606580757671165</v>
      </c>
      <c r="G90" s="26">
        <f ca="1">DSUM($B$43:$Y$56,G$43,$C$64:$D90)</f>
        <v>0.52136539994967279</v>
      </c>
      <c r="H90" s="26">
        <f ca="1">DSUM($B$43:$Y$56,H$43,$C$64:$D90)</f>
        <v>0.67278078173883715</v>
      </c>
      <c r="I90" s="26">
        <f ca="1">DSUM($B$43:$Y$56,I$43,$C$64:$D90)</f>
        <v>0.80927315014251344</v>
      </c>
      <c r="J90" s="26">
        <f ca="1">DSUM($B$43:$Y$56,J$43,$C$64:$D90)</f>
        <v>0.91465300914865333</v>
      </c>
      <c r="K90" s="26">
        <f ca="1">DSUM($B$43:$Y$56,K$43,$C$64:$D90)</f>
        <v>1.0046028397001916</v>
      </c>
      <c r="L90" s="26">
        <f ca="1">DSUM($B$43:$Y$56,L$43,$C$64:$D90)</f>
        <v>1.0959303051274436</v>
      </c>
      <c r="M90" s="26">
        <f ca="1">DSUM($B$43:$Y$56,M$43,$C$64:$D90)</f>
        <v>1.1670070193793669</v>
      </c>
      <c r="N90" s="26">
        <f ca="1">DSUM($B$43:$Y$56,N$43,$C$64:$D90)</f>
        <v>1.2482037874531191</v>
      </c>
      <c r="O90" s="26">
        <f ca="1">DSUM($B$43:$Y$56,O$43,$C$64:$D90)</f>
        <v>1.3005731292795533</v>
      </c>
      <c r="P90" s="26">
        <f ca="1">DSUM($B$43:$Y$56,P$43,$C$64:$D90)</f>
        <v>1.3262735404649029</v>
      </c>
      <c r="Q90" s="26">
        <f ca="1">DSUM($B$43:$Y$56,Q$43,$C$64:$D90)</f>
        <v>1.3324554826709929</v>
      </c>
      <c r="R90" s="26">
        <f ca="1">DSUM($B$43:$Y$56,R$43,$C$64:$D90)</f>
        <v>1.3520419144963465</v>
      </c>
      <c r="S90" s="26">
        <f ca="1">DSUM($B$43:$Y$56,S$43,$C$64:$D90)</f>
        <v>1.3754914259715647</v>
      </c>
      <c r="T90" s="26">
        <f ca="1">DSUM($B$43:$Y$56,T$43,$C$64:$D90)</f>
        <v>1.3769162368026131</v>
      </c>
      <c r="U90" s="26">
        <f ca="1">DSUM($B$43:$Y$56,U$43,$C$64:$D90)</f>
        <v>1.3398579489066416</v>
      </c>
      <c r="V90" s="26">
        <f ca="1">DSUM($B$43:$Y$56,V$43,$C$64:$D90)</f>
        <v>1.3319589036941279</v>
      </c>
      <c r="W90" s="26">
        <f ca="1">DSUM($B$43:$Y$56,W$43,$C$64:$D90)</f>
        <v>1.3269865606852709</v>
      </c>
      <c r="X90" s="26">
        <f ca="1">DSUM($B$43:$Y$56,X$43,$C$64:$D90)</f>
        <v>1.3311765195618597</v>
      </c>
      <c r="Y90" s="26">
        <f ca="1">DSUM($B$43:$Y$56,Y$43,$C$64:$D90)</f>
        <v>21.374509055883532</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2:80">
      <c r="B91" s="7" t="s">
        <v>572</v>
      </c>
      <c r="C91" s="48" t="s">
        <v>573</v>
      </c>
      <c r="D91" s="48" t="s">
        <v>574</v>
      </c>
      <c r="E91" s="26">
        <f ca="1">DSUM($B$43:$Y$56,E$43,$C$64:$D91)</f>
        <v>0.18630302494274564</v>
      </c>
      <c r="F91" s="26">
        <f ca="1">DSUM($B$43:$Y$56,F$43,$C$64:$D91)</f>
        <v>0.3606580757671165</v>
      </c>
      <c r="G91" s="26">
        <f ca="1">DSUM($B$43:$Y$56,G$43,$C$64:$D91)</f>
        <v>0.52136539994967279</v>
      </c>
      <c r="H91" s="26">
        <f ca="1">DSUM($B$43:$Y$56,H$43,$C$64:$D91)</f>
        <v>0.67278078173883715</v>
      </c>
      <c r="I91" s="26">
        <f ca="1">DSUM($B$43:$Y$56,I$43,$C$64:$D91)</f>
        <v>0.80927315014251344</v>
      </c>
      <c r="J91" s="26">
        <f ca="1">DSUM($B$43:$Y$56,J$43,$C$64:$D91)</f>
        <v>0.91465300914865333</v>
      </c>
      <c r="K91" s="26">
        <f ca="1">DSUM($B$43:$Y$56,K$43,$C$64:$D91)</f>
        <v>1.0046028397001916</v>
      </c>
      <c r="L91" s="26">
        <f ca="1">DSUM($B$43:$Y$56,L$43,$C$64:$D91)</f>
        <v>1.0959303051274436</v>
      </c>
      <c r="M91" s="26">
        <f ca="1">DSUM($B$43:$Y$56,M$43,$C$64:$D91)</f>
        <v>1.1670070193793669</v>
      </c>
      <c r="N91" s="26">
        <f ca="1">DSUM($B$43:$Y$56,N$43,$C$64:$D91)</f>
        <v>1.2482037874531191</v>
      </c>
      <c r="O91" s="26">
        <f ca="1">DSUM($B$43:$Y$56,O$43,$C$64:$D91)</f>
        <v>1.3005731292795533</v>
      </c>
      <c r="P91" s="26">
        <f ca="1">DSUM($B$43:$Y$56,P$43,$C$64:$D91)</f>
        <v>1.3262735404649029</v>
      </c>
      <c r="Q91" s="26">
        <f ca="1">DSUM($B$43:$Y$56,Q$43,$C$64:$D91)</f>
        <v>1.3324554826709929</v>
      </c>
      <c r="R91" s="26">
        <f ca="1">DSUM($B$43:$Y$56,R$43,$C$64:$D91)</f>
        <v>1.3520419144963465</v>
      </c>
      <c r="S91" s="26">
        <f ca="1">DSUM($B$43:$Y$56,S$43,$C$64:$D91)</f>
        <v>1.3754914259715647</v>
      </c>
      <c r="T91" s="26">
        <f ca="1">DSUM($B$43:$Y$56,T$43,$C$64:$D91)</f>
        <v>1.3769162368026131</v>
      </c>
      <c r="U91" s="26">
        <f ca="1">DSUM($B$43:$Y$56,U$43,$C$64:$D91)</f>
        <v>1.3398579489066416</v>
      </c>
      <c r="V91" s="26">
        <f ca="1">DSUM($B$43:$Y$56,V$43,$C$64:$D91)</f>
        <v>1.3319589036941279</v>
      </c>
      <c r="W91" s="26">
        <f ca="1">DSUM($B$43:$Y$56,W$43,$C$64:$D91)</f>
        <v>1.3269865606852709</v>
      </c>
      <c r="X91" s="26">
        <f ca="1">DSUM($B$43:$Y$56,X$43,$C$64:$D91)</f>
        <v>1.3311765195618597</v>
      </c>
      <c r="Y91" s="26">
        <f ca="1">DSUM($B$43:$Y$56,Y$43,$C$64:$D91)</f>
        <v>21.374509055883532</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2:80">
      <c r="B92" s="7" t="s">
        <v>575</v>
      </c>
      <c r="C92" s="48" t="s">
        <v>576</v>
      </c>
      <c r="D92" s="48" t="s">
        <v>577</v>
      </c>
      <c r="E92" s="26">
        <f ca="1">DSUM($B$43:$Y$56,E$43,$C$64:$D92)</f>
        <v>0.18630302494274564</v>
      </c>
      <c r="F92" s="26">
        <f ca="1">DSUM($B$43:$Y$56,F$43,$C$64:$D92)</f>
        <v>0.3606580757671165</v>
      </c>
      <c r="G92" s="26">
        <f ca="1">DSUM($B$43:$Y$56,G$43,$C$64:$D92)</f>
        <v>0.52136539994967279</v>
      </c>
      <c r="H92" s="26">
        <f ca="1">DSUM($B$43:$Y$56,H$43,$C$64:$D92)</f>
        <v>0.67278078173883715</v>
      </c>
      <c r="I92" s="26">
        <f ca="1">DSUM($B$43:$Y$56,I$43,$C$64:$D92)</f>
        <v>0.80927315014251344</v>
      </c>
      <c r="J92" s="26">
        <f ca="1">DSUM($B$43:$Y$56,J$43,$C$64:$D92)</f>
        <v>0.91465300914865333</v>
      </c>
      <c r="K92" s="26">
        <f ca="1">DSUM($B$43:$Y$56,K$43,$C$64:$D92)</f>
        <v>1.0046028397001916</v>
      </c>
      <c r="L92" s="26">
        <f ca="1">DSUM($B$43:$Y$56,L$43,$C$64:$D92)</f>
        <v>1.0959303051274436</v>
      </c>
      <c r="M92" s="26">
        <f ca="1">DSUM($B$43:$Y$56,M$43,$C$64:$D92)</f>
        <v>1.1670070193793669</v>
      </c>
      <c r="N92" s="26">
        <f ca="1">DSUM($B$43:$Y$56,N$43,$C$64:$D92)</f>
        <v>1.2482037874531191</v>
      </c>
      <c r="O92" s="26">
        <f ca="1">DSUM($B$43:$Y$56,O$43,$C$64:$D92)</f>
        <v>1.3005731292795533</v>
      </c>
      <c r="P92" s="26">
        <f ca="1">DSUM($B$43:$Y$56,P$43,$C$64:$D92)</f>
        <v>1.3262735404649029</v>
      </c>
      <c r="Q92" s="26">
        <f ca="1">DSUM($B$43:$Y$56,Q$43,$C$64:$D92)</f>
        <v>1.3324554826709929</v>
      </c>
      <c r="R92" s="26">
        <f ca="1">DSUM($B$43:$Y$56,R$43,$C$64:$D92)</f>
        <v>1.3520419144963465</v>
      </c>
      <c r="S92" s="26">
        <f ca="1">DSUM($B$43:$Y$56,S$43,$C$64:$D92)</f>
        <v>1.3754914259715647</v>
      </c>
      <c r="T92" s="26">
        <f ca="1">DSUM($B$43:$Y$56,T$43,$C$64:$D92)</f>
        <v>1.3769162368026131</v>
      </c>
      <c r="U92" s="26">
        <f ca="1">DSUM($B$43:$Y$56,U$43,$C$64:$D92)</f>
        <v>1.3398579489066416</v>
      </c>
      <c r="V92" s="26">
        <f ca="1">DSUM($B$43:$Y$56,V$43,$C$64:$D92)</f>
        <v>1.3319589036941279</v>
      </c>
      <c r="W92" s="26">
        <f ca="1">DSUM($B$43:$Y$56,W$43,$C$64:$D92)</f>
        <v>1.3269865606852709</v>
      </c>
      <c r="X92" s="26">
        <f ca="1">DSUM($B$43:$Y$56,X$43,$C$64:$D92)</f>
        <v>1.3311765195618597</v>
      </c>
      <c r="Y92" s="26">
        <f ca="1">DSUM($B$43:$Y$56,Y$43,$C$64:$D92)</f>
        <v>21.374509055883532</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2:80">
      <c r="B93" s="7" t="s">
        <v>578</v>
      </c>
      <c r="C93" s="48" t="s">
        <v>579</v>
      </c>
      <c r="D93" s="48" t="s">
        <v>580</v>
      </c>
      <c r="E93" s="26">
        <f ca="1">DSUM($B$43:$Y$56,E$43,$C$64:$D93)</f>
        <v>0.18630302494274564</v>
      </c>
      <c r="F93" s="26">
        <f ca="1">DSUM($B$43:$Y$56,F$43,$C$64:$D93)</f>
        <v>0.3606580757671165</v>
      </c>
      <c r="G93" s="26">
        <f ca="1">DSUM($B$43:$Y$56,G$43,$C$64:$D93)</f>
        <v>0.52136539994967279</v>
      </c>
      <c r="H93" s="26">
        <f ca="1">DSUM($B$43:$Y$56,H$43,$C$64:$D93)</f>
        <v>0.67278078173883715</v>
      </c>
      <c r="I93" s="26">
        <f ca="1">DSUM($B$43:$Y$56,I$43,$C$64:$D93)</f>
        <v>0.80927315014251344</v>
      </c>
      <c r="J93" s="26">
        <f ca="1">DSUM($B$43:$Y$56,J$43,$C$64:$D93)</f>
        <v>0.91465300914865333</v>
      </c>
      <c r="K93" s="26">
        <f ca="1">DSUM($B$43:$Y$56,K$43,$C$64:$D93)</f>
        <v>1.0046028397001916</v>
      </c>
      <c r="L93" s="26">
        <f ca="1">DSUM($B$43:$Y$56,L$43,$C$64:$D93)</f>
        <v>1.0959303051274436</v>
      </c>
      <c r="M93" s="26">
        <f ca="1">DSUM($B$43:$Y$56,M$43,$C$64:$D93)</f>
        <v>1.1670070193793669</v>
      </c>
      <c r="N93" s="26">
        <f ca="1">DSUM($B$43:$Y$56,N$43,$C$64:$D93)</f>
        <v>1.2482037874531191</v>
      </c>
      <c r="O93" s="26">
        <f ca="1">DSUM($B$43:$Y$56,O$43,$C$64:$D93)</f>
        <v>1.3005731292795533</v>
      </c>
      <c r="P93" s="26">
        <f ca="1">DSUM($B$43:$Y$56,P$43,$C$64:$D93)</f>
        <v>1.3262735404649029</v>
      </c>
      <c r="Q93" s="26">
        <f ca="1">DSUM($B$43:$Y$56,Q$43,$C$64:$D93)</f>
        <v>1.3324554826709929</v>
      </c>
      <c r="R93" s="26">
        <f ca="1">DSUM($B$43:$Y$56,R$43,$C$64:$D93)</f>
        <v>1.3520419144963465</v>
      </c>
      <c r="S93" s="26">
        <f ca="1">DSUM($B$43:$Y$56,S$43,$C$64:$D93)</f>
        <v>1.3754914259715647</v>
      </c>
      <c r="T93" s="26">
        <f ca="1">DSUM($B$43:$Y$56,T$43,$C$64:$D93)</f>
        <v>1.3769162368026131</v>
      </c>
      <c r="U93" s="26">
        <f ca="1">DSUM($B$43:$Y$56,U$43,$C$64:$D93)</f>
        <v>1.3398579489066416</v>
      </c>
      <c r="V93" s="26">
        <f ca="1">DSUM($B$43:$Y$56,V$43,$C$64:$D93)</f>
        <v>1.3319589036941279</v>
      </c>
      <c r="W93" s="26">
        <f ca="1">DSUM($B$43:$Y$56,W$43,$C$64:$D93)</f>
        <v>1.3269865606852709</v>
      </c>
      <c r="X93" s="26">
        <f ca="1">DSUM($B$43:$Y$56,X$43,$C$64:$D93)</f>
        <v>1.3311765195618597</v>
      </c>
      <c r="Y93" s="26">
        <f ca="1">DSUM($B$43:$Y$56,Y$43,$C$64:$D93)</f>
        <v>21.374509055883532</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2:80">
      <c r="B94" s="7" t="s">
        <v>581</v>
      </c>
      <c r="C94" s="48" t="s">
        <v>582</v>
      </c>
      <c r="D94" s="48" t="s">
        <v>583</v>
      </c>
      <c r="E94" s="26">
        <f ca="1">DSUM($B$43:$Y$56,E$43,$C$64:$D94)</f>
        <v>0.18630302494274564</v>
      </c>
      <c r="F94" s="26">
        <f ca="1">DSUM($B$43:$Y$56,F$43,$C$64:$D94)</f>
        <v>0.3606580757671165</v>
      </c>
      <c r="G94" s="26">
        <f ca="1">DSUM($B$43:$Y$56,G$43,$C$64:$D94)</f>
        <v>0.52136539994967279</v>
      </c>
      <c r="H94" s="26">
        <f ca="1">DSUM($B$43:$Y$56,H$43,$C$64:$D94)</f>
        <v>0.67278078173883715</v>
      </c>
      <c r="I94" s="26">
        <f ca="1">DSUM($B$43:$Y$56,I$43,$C$64:$D94)</f>
        <v>0.80927315014251344</v>
      </c>
      <c r="J94" s="26">
        <f ca="1">DSUM($B$43:$Y$56,J$43,$C$64:$D94)</f>
        <v>0.91465300914865333</v>
      </c>
      <c r="K94" s="26">
        <f ca="1">DSUM($B$43:$Y$56,K$43,$C$64:$D94)</f>
        <v>1.0046028397001916</v>
      </c>
      <c r="L94" s="26">
        <f ca="1">DSUM($B$43:$Y$56,L$43,$C$64:$D94)</f>
        <v>1.0959303051274436</v>
      </c>
      <c r="M94" s="26">
        <f ca="1">DSUM($B$43:$Y$56,M$43,$C$64:$D94)</f>
        <v>1.1670070193793669</v>
      </c>
      <c r="N94" s="26">
        <f ca="1">DSUM($B$43:$Y$56,N$43,$C$64:$D94)</f>
        <v>1.2482037874531191</v>
      </c>
      <c r="O94" s="26">
        <f ca="1">DSUM($B$43:$Y$56,O$43,$C$64:$D94)</f>
        <v>1.3005731292795533</v>
      </c>
      <c r="P94" s="26">
        <f ca="1">DSUM($B$43:$Y$56,P$43,$C$64:$D94)</f>
        <v>1.3262735404649029</v>
      </c>
      <c r="Q94" s="26">
        <f ca="1">DSUM($B$43:$Y$56,Q$43,$C$64:$D94)</f>
        <v>1.3324554826709929</v>
      </c>
      <c r="R94" s="26">
        <f ca="1">DSUM($B$43:$Y$56,R$43,$C$64:$D94)</f>
        <v>1.3520419144963465</v>
      </c>
      <c r="S94" s="26">
        <f ca="1">DSUM($B$43:$Y$56,S$43,$C$64:$D94)</f>
        <v>1.3754914259715647</v>
      </c>
      <c r="T94" s="26">
        <f ca="1">DSUM($B$43:$Y$56,T$43,$C$64:$D94)</f>
        <v>1.3769162368026131</v>
      </c>
      <c r="U94" s="26">
        <f ca="1">DSUM($B$43:$Y$56,U$43,$C$64:$D94)</f>
        <v>1.3398579489066416</v>
      </c>
      <c r="V94" s="26">
        <f ca="1">DSUM($B$43:$Y$56,V$43,$C$64:$D94)</f>
        <v>1.3319589036941279</v>
      </c>
      <c r="W94" s="26">
        <f ca="1">DSUM($B$43:$Y$56,W$43,$C$64:$D94)</f>
        <v>1.3269865606852709</v>
      </c>
      <c r="X94" s="26">
        <f ca="1">DSUM($B$43:$Y$56,X$43,$C$64:$D94)</f>
        <v>1.3311765195618597</v>
      </c>
      <c r="Y94" s="26">
        <f ca="1">DSUM($B$43:$Y$56,Y$43,$C$64:$D94)</f>
        <v>21.374509055883532</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2:80">
      <c r="B95" s="7" t="s">
        <v>584</v>
      </c>
      <c r="C95" s="48" t="s">
        <v>585</v>
      </c>
      <c r="D95" s="48" t="s">
        <v>586</v>
      </c>
      <c r="E95" s="26">
        <f ca="1">DSUM($B$43:$Y$56,E$43,$C$64:$D95)</f>
        <v>0.18630302494274564</v>
      </c>
      <c r="F95" s="26">
        <f ca="1">DSUM($B$43:$Y$56,F$43,$C$64:$D95)</f>
        <v>0.3606580757671165</v>
      </c>
      <c r="G95" s="26">
        <f ca="1">DSUM($B$43:$Y$56,G$43,$C$64:$D95)</f>
        <v>0.52136539994967279</v>
      </c>
      <c r="H95" s="26">
        <f ca="1">DSUM($B$43:$Y$56,H$43,$C$64:$D95)</f>
        <v>0.67278078173883715</v>
      </c>
      <c r="I95" s="26">
        <f ca="1">DSUM($B$43:$Y$56,I$43,$C$64:$D95)</f>
        <v>0.80927315014251344</v>
      </c>
      <c r="J95" s="26">
        <f ca="1">DSUM($B$43:$Y$56,J$43,$C$64:$D95)</f>
        <v>0.91465300914865333</v>
      </c>
      <c r="K95" s="26">
        <f ca="1">DSUM($B$43:$Y$56,K$43,$C$64:$D95)</f>
        <v>1.0046028397001916</v>
      </c>
      <c r="L95" s="26">
        <f ca="1">DSUM($B$43:$Y$56,L$43,$C$64:$D95)</f>
        <v>1.0959303051274436</v>
      </c>
      <c r="M95" s="26">
        <f ca="1">DSUM($B$43:$Y$56,M$43,$C$64:$D95)</f>
        <v>1.1670070193793669</v>
      </c>
      <c r="N95" s="26">
        <f ca="1">DSUM($B$43:$Y$56,N$43,$C$64:$D95)</f>
        <v>1.2482037874531191</v>
      </c>
      <c r="O95" s="26">
        <f ca="1">DSUM($B$43:$Y$56,O$43,$C$64:$D95)</f>
        <v>1.3005731292795533</v>
      </c>
      <c r="P95" s="26">
        <f ca="1">DSUM($B$43:$Y$56,P$43,$C$64:$D95)</f>
        <v>1.3262735404649029</v>
      </c>
      <c r="Q95" s="26">
        <f ca="1">DSUM($B$43:$Y$56,Q$43,$C$64:$D95)</f>
        <v>1.3324554826709929</v>
      </c>
      <c r="R95" s="26">
        <f ca="1">DSUM($B$43:$Y$56,R$43,$C$64:$D95)</f>
        <v>1.3520419144963465</v>
      </c>
      <c r="S95" s="26">
        <f ca="1">DSUM($B$43:$Y$56,S$43,$C$64:$D95)</f>
        <v>1.3754914259715647</v>
      </c>
      <c r="T95" s="26">
        <f ca="1">DSUM($B$43:$Y$56,T$43,$C$64:$D95)</f>
        <v>1.3769162368026131</v>
      </c>
      <c r="U95" s="26">
        <f ca="1">DSUM($B$43:$Y$56,U$43,$C$64:$D95)</f>
        <v>1.3398579489066416</v>
      </c>
      <c r="V95" s="26">
        <f ca="1">DSUM($B$43:$Y$56,V$43,$C$64:$D95)</f>
        <v>1.3319589036941279</v>
      </c>
      <c r="W95" s="26">
        <f ca="1">DSUM($B$43:$Y$56,W$43,$C$64:$D95)</f>
        <v>1.3269865606852709</v>
      </c>
      <c r="X95" s="26">
        <f ca="1">DSUM($B$43:$Y$56,X$43,$C$64:$D95)</f>
        <v>1.3311765195618597</v>
      </c>
      <c r="Y95" s="26">
        <f ca="1">DSUM($B$43:$Y$56,Y$43,$C$64:$D95)</f>
        <v>21.374509055883532</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2:80">
      <c r="B96" s="7" t="s">
        <v>587</v>
      </c>
      <c r="C96" s="48" t="s">
        <v>588</v>
      </c>
      <c r="D96" s="48" t="s">
        <v>142</v>
      </c>
      <c r="E96" s="26">
        <f ca="1">DSUM($B$43:$Y$56,E$43,$C$64:$D96)</f>
        <v>0.18630302494274564</v>
      </c>
      <c r="F96" s="26">
        <f ca="1">DSUM($B$43:$Y$56,F$43,$C$64:$D96)</f>
        <v>0.3606580757671165</v>
      </c>
      <c r="G96" s="26">
        <f ca="1">DSUM($B$43:$Y$56,G$43,$C$64:$D96)</f>
        <v>0.52136539994967279</v>
      </c>
      <c r="H96" s="26">
        <f ca="1">DSUM($B$43:$Y$56,H$43,$C$64:$D96)</f>
        <v>0.67278078173883715</v>
      </c>
      <c r="I96" s="26">
        <f ca="1">DSUM($B$43:$Y$56,I$43,$C$64:$D96)</f>
        <v>0.80927315014251344</v>
      </c>
      <c r="J96" s="26">
        <f ca="1">DSUM($B$43:$Y$56,J$43,$C$64:$D96)</f>
        <v>0.91465300914865333</v>
      </c>
      <c r="K96" s="26">
        <f ca="1">DSUM($B$43:$Y$56,K$43,$C$64:$D96)</f>
        <v>1.0046028397001916</v>
      </c>
      <c r="L96" s="26">
        <f ca="1">DSUM($B$43:$Y$56,L$43,$C$64:$D96)</f>
        <v>1.0959303051274436</v>
      </c>
      <c r="M96" s="26">
        <f ca="1">DSUM($B$43:$Y$56,M$43,$C$64:$D96)</f>
        <v>1.1670070193793669</v>
      </c>
      <c r="N96" s="26">
        <f ca="1">DSUM($B$43:$Y$56,N$43,$C$64:$D96)</f>
        <v>1.2482037874531191</v>
      </c>
      <c r="O96" s="26">
        <f ca="1">DSUM($B$43:$Y$56,O$43,$C$64:$D96)</f>
        <v>1.3005731292795533</v>
      </c>
      <c r="P96" s="26">
        <f ca="1">DSUM($B$43:$Y$56,P$43,$C$64:$D96)</f>
        <v>1.3262735404649029</v>
      </c>
      <c r="Q96" s="26">
        <f ca="1">DSUM($B$43:$Y$56,Q$43,$C$64:$D96)</f>
        <v>1.3324554826709929</v>
      </c>
      <c r="R96" s="26">
        <f ca="1">DSUM($B$43:$Y$56,R$43,$C$64:$D96)</f>
        <v>1.3520419144963465</v>
      </c>
      <c r="S96" s="26">
        <f ca="1">DSUM($B$43:$Y$56,S$43,$C$64:$D96)</f>
        <v>1.3754914259715647</v>
      </c>
      <c r="T96" s="26">
        <f ca="1">DSUM($B$43:$Y$56,T$43,$C$64:$D96)</f>
        <v>1.3769162368026131</v>
      </c>
      <c r="U96" s="26">
        <f ca="1">DSUM($B$43:$Y$56,U$43,$C$64:$D96)</f>
        <v>1.3398579489066416</v>
      </c>
      <c r="V96" s="26">
        <f ca="1">DSUM($B$43:$Y$56,V$43,$C$64:$D96)</f>
        <v>1.3319589036941279</v>
      </c>
      <c r="W96" s="26">
        <f ca="1">DSUM($B$43:$Y$56,W$43,$C$64:$D96)</f>
        <v>1.3269865606852709</v>
      </c>
      <c r="X96" s="26">
        <f ca="1">DSUM($B$43:$Y$56,X$43,$C$64:$D96)</f>
        <v>1.3311765195618597</v>
      </c>
      <c r="Y96" s="26">
        <f ca="1">DSUM($B$43:$Y$56,Y$43,$C$64:$D96)</f>
        <v>21.374509055883532</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1:80">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1:80">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1:80" ht="15">
      <c r="A99" s="53" t="s">
        <v>143</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1:80" ht="15">
      <c r="C100" s="62" t="s">
        <v>148</v>
      </c>
      <c r="D100" s="62"/>
      <c r="E100" s="56">
        <f t="shared" ref="E100:X100" si="31">E11</f>
        <v>2016</v>
      </c>
      <c r="F100" s="57">
        <f t="shared" si="31"/>
        <v>2017</v>
      </c>
      <c r="G100" s="57">
        <f t="shared" si="31"/>
        <v>2018</v>
      </c>
      <c r="H100" s="57">
        <f t="shared" si="31"/>
        <v>2019</v>
      </c>
      <c r="I100" s="57">
        <f t="shared" si="31"/>
        <v>2020</v>
      </c>
      <c r="J100" s="57">
        <f t="shared" si="31"/>
        <v>2021</v>
      </c>
      <c r="K100" s="57">
        <f t="shared" si="31"/>
        <v>2022</v>
      </c>
      <c r="L100" s="57">
        <f t="shared" si="31"/>
        <v>2023</v>
      </c>
      <c r="M100" s="57">
        <f t="shared" si="31"/>
        <v>2024</v>
      </c>
      <c r="N100" s="57">
        <f t="shared" si="31"/>
        <v>2025</v>
      </c>
      <c r="O100" s="57">
        <f t="shared" si="31"/>
        <v>2026</v>
      </c>
      <c r="P100" s="57">
        <f t="shared" si="31"/>
        <v>2027</v>
      </c>
      <c r="Q100" s="57">
        <f t="shared" si="31"/>
        <v>2028</v>
      </c>
      <c r="R100" s="57">
        <f t="shared" si="31"/>
        <v>2029</v>
      </c>
      <c r="S100" s="57">
        <f t="shared" si="31"/>
        <v>2030</v>
      </c>
      <c r="T100" s="57">
        <f t="shared" si="31"/>
        <v>2031</v>
      </c>
      <c r="U100" s="57">
        <f t="shared" si="31"/>
        <v>2032</v>
      </c>
      <c r="V100" s="57">
        <f t="shared" si="31"/>
        <v>2033</v>
      </c>
      <c r="W100" s="57">
        <f t="shared" si="31"/>
        <v>2034</v>
      </c>
      <c r="X100" s="57">
        <f t="shared" si="31"/>
        <v>2035</v>
      </c>
      <c r="Y100" s="299" t="s">
        <v>68</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1:80" ht="15">
      <c r="C101" s="62" t="str">
        <f>C8</f>
        <v>Showerheads</v>
      </c>
      <c r="D101" s="62"/>
      <c r="E101" s="59" t="str">
        <f>CONCATENATE("aMW_",E$11)</f>
        <v>aMW_2016</v>
      </c>
      <c r="F101" s="60" t="str">
        <f t="shared" ref="F101:X101" si="32">CONCATENATE("aMW_",F$11)</f>
        <v>aMW_2017</v>
      </c>
      <c r="G101" s="60" t="str">
        <f t="shared" si="32"/>
        <v>aMW_2018</v>
      </c>
      <c r="H101" s="60" t="str">
        <f t="shared" si="32"/>
        <v>aMW_2019</v>
      </c>
      <c r="I101" s="60" t="str">
        <f t="shared" si="32"/>
        <v>aMW_2020</v>
      </c>
      <c r="J101" s="60" t="str">
        <f t="shared" si="32"/>
        <v>aMW_2021</v>
      </c>
      <c r="K101" s="60" t="str">
        <f t="shared" si="32"/>
        <v>aMW_2022</v>
      </c>
      <c r="L101" s="60" t="str">
        <f t="shared" si="32"/>
        <v>aMW_2023</v>
      </c>
      <c r="M101" s="60" t="str">
        <f t="shared" si="32"/>
        <v>aMW_2024</v>
      </c>
      <c r="N101" s="60" t="str">
        <f t="shared" si="32"/>
        <v>aMW_2025</v>
      </c>
      <c r="O101" s="60" t="str">
        <f t="shared" si="32"/>
        <v>aMW_2026</v>
      </c>
      <c r="P101" s="60" t="str">
        <f t="shared" si="32"/>
        <v>aMW_2027</v>
      </c>
      <c r="Q101" s="60" t="str">
        <f t="shared" si="32"/>
        <v>aMW_2028</v>
      </c>
      <c r="R101" s="60" t="str">
        <f t="shared" si="32"/>
        <v>aMW_2029</v>
      </c>
      <c r="S101" s="60" t="str">
        <f t="shared" si="32"/>
        <v>aMW_2030</v>
      </c>
      <c r="T101" s="60" t="str">
        <f t="shared" si="32"/>
        <v>aMW_2031</v>
      </c>
      <c r="U101" s="60" t="str">
        <f t="shared" si="32"/>
        <v>aMW_2032</v>
      </c>
      <c r="V101" s="60" t="str">
        <f t="shared" si="32"/>
        <v>aMW_2033</v>
      </c>
      <c r="W101" s="60" t="str">
        <f t="shared" si="32"/>
        <v>aMW_2034</v>
      </c>
      <c r="X101" s="60" t="str">
        <f t="shared" si="32"/>
        <v>aMW_2035</v>
      </c>
      <c r="Y101" s="300" t="s">
        <v>68</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1:80">
      <c r="C102" s="7" t="s">
        <v>77</v>
      </c>
      <c r="E102" s="26">
        <f ca="1">E65</f>
        <v>0.18630302494274564</v>
      </c>
      <c r="F102" s="26">
        <f t="shared" ref="F102:Y102" ca="1" si="33">F65</f>
        <v>0.3606580757671165</v>
      </c>
      <c r="G102" s="26">
        <f t="shared" ca="1" si="33"/>
        <v>0.52136539994967279</v>
      </c>
      <c r="H102" s="26">
        <f t="shared" ca="1" si="33"/>
        <v>0.67278078173883715</v>
      </c>
      <c r="I102" s="26">
        <f t="shared" ca="1" si="33"/>
        <v>0.80927315014251344</v>
      </c>
      <c r="J102" s="26">
        <f t="shared" ca="1" si="33"/>
        <v>0.91465300914865333</v>
      </c>
      <c r="K102" s="26">
        <f t="shared" ca="1" si="33"/>
        <v>1.0046028397001916</v>
      </c>
      <c r="L102" s="26">
        <f t="shared" ca="1" si="33"/>
        <v>1.0959303051274436</v>
      </c>
      <c r="M102" s="26">
        <f t="shared" ca="1" si="33"/>
        <v>1.1670070193793669</v>
      </c>
      <c r="N102" s="26">
        <f t="shared" ca="1" si="33"/>
        <v>1.2482037874531191</v>
      </c>
      <c r="O102" s="26">
        <f t="shared" ca="1" si="33"/>
        <v>1.3005731292795533</v>
      </c>
      <c r="P102" s="26">
        <f t="shared" ca="1" si="33"/>
        <v>1.3262735404649029</v>
      </c>
      <c r="Q102" s="26">
        <f t="shared" ca="1" si="33"/>
        <v>1.3324554826709929</v>
      </c>
      <c r="R102" s="26">
        <f t="shared" ca="1" si="33"/>
        <v>1.3520419144963465</v>
      </c>
      <c r="S102" s="26">
        <f t="shared" ca="1" si="33"/>
        <v>1.3754914259715647</v>
      </c>
      <c r="T102" s="26">
        <f t="shared" ca="1" si="33"/>
        <v>1.3769162368026131</v>
      </c>
      <c r="U102" s="26">
        <f t="shared" ca="1" si="33"/>
        <v>1.3398579489066416</v>
      </c>
      <c r="V102" s="26">
        <f t="shared" ca="1" si="33"/>
        <v>1.3319589036941279</v>
      </c>
      <c r="W102" s="26">
        <f t="shared" ca="1" si="33"/>
        <v>1.3269865606852709</v>
      </c>
      <c r="X102" s="26">
        <f t="shared" ca="1" si="33"/>
        <v>1.3311765195618597</v>
      </c>
      <c r="Y102" s="26">
        <f t="shared" ca="1" si="33"/>
        <v>21.374509055883532</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1:80">
      <c r="C103" s="7" t="s">
        <v>595</v>
      </c>
      <c r="E103" s="26">
        <f t="shared" ref="E103:X115" ca="1" si="34">E66-E65</f>
        <v>0</v>
      </c>
      <c r="F103" s="26">
        <f t="shared" ca="1" si="34"/>
        <v>0</v>
      </c>
      <c r="G103" s="26">
        <f t="shared" ca="1" si="34"/>
        <v>0</v>
      </c>
      <c r="H103" s="26">
        <f t="shared" ca="1" si="34"/>
        <v>0</v>
      </c>
      <c r="I103" s="26">
        <f t="shared" ca="1" si="34"/>
        <v>0</v>
      </c>
      <c r="J103" s="26">
        <f t="shared" ca="1" si="34"/>
        <v>0</v>
      </c>
      <c r="K103" s="26">
        <f t="shared" ca="1" si="34"/>
        <v>0</v>
      </c>
      <c r="L103" s="26">
        <f t="shared" ca="1" si="34"/>
        <v>0</v>
      </c>
      <c r="M103" s="26">
        <f t="shared" ca="1" si="34"/>
        <v>0</v>
      </c>
      <c r="N103" s="26">
        <f t="shared" ca="1" si="34"/>
        <v>0</v>
      </c>
      <c r="O103" s="26">
        <f t="shared" ca="1" si="34"/>
        <v>0</v>
      </c>
      <c r="P103" s="26">
        <f t="shared" ca="1" si="34"/>
        <v>0</v>
      </c>
      <c r="Q103" s="26">
        <f t="shared" ca="1" si="34"/>
        <v>0</v>
      </c>
      <c r="R103" s="26">
        <f t="shared" ca="1" si="34"/>
        <v>0</v>
      </c>
      <c r="S103" s="26">
        <f t="shared" ca="1" si="34"/>
        <v>0</v>
      </c>
      <c r="T103" s="26">
        <f t="shared" ca="1" si="34"/>
        <v>0</v>
      </c>
      <c r="U103" s="26">
        <f t="shared" ca="1" si="34"/>
        <v>0</v>
      </c>
      <c r="V103" s="26">
        <f t="shared" ca="1" si="34"/>
        <v>0</v>
      </c>
      <c r="W103" s="26">
        <f t="shared" ca="1" si="34"/>
        <v>0</v>
      </c>
      <c r="X103" s="26">
        <f t="shared" ca="1" si="34"/>
        <v>0</v>
      </c>
      <c r="Y103" s="26">
        <f t="shared" ref="Y103" ca="1" si="35">Y66-Y65</f>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1:80">
      <c r="C104" s="7" t="s">
        <v>83</v>
      </c>
      <c r="E104" s="26">
        <f t="shared" ca="1" si="34"/>
        <v>0</v>
      </c>
      <c r="F104" s="26">
        <f t="shared" ca="1" si="34"/>
        <v>0</v>
      </c>
      <c r="G104" s="26">
        <f t="shared" ca="1" si="34"/>
        <v>0</v>
      </c>
      <c r="H104" s="26">
        <f t="shared" ca="1" si="34"/>
        <v>0</v>
      </c>
      <c r="I104" s="26">
        <f t="shared" ca="1" si="34"/>
        <v>0</v>
      </c>
      <c r="J104" s="26">
        <f t="shared" ca="1" si="34"/>
        <v>0</v>
      </c>
      <c r="K104" s="26">
        <f t="shared" ca="1" si="34"/>
        <v>0</v>
      </c>
      <c r="L104" s="26">
        <f t="shared" ca="1" si="34"/>
        <v>0</v>
      </c>
      <c r="M104" s="26">
        <f t="shared" ca="1" si="34"/>
        <v>0</v>
      </c>
      <c r="N104" s="26">
        <f t="shared" ca="1" si="34"/>
        <v>0</v>
      </c>
      <c r="O104" s="26">
        <f t="shared" ca="1" si="34"/>
        <v>0</v>
      </c>
      <c r="P104" s="26">
        <f t="shared" ca="1" si="34"/>
        <v>0</v>
      </c>
      <c r="Q104" s="26">
        <f t="shared" ca="1" si="34"/>
        <v>0</v>
      </c>
      <c r="R104" s="26">
        <f t="shared" ca="1" si="34"/>
        <v>0</v>
      </c>
      <c r="S104" s="26">
        <f t="shared" ca="1" si="34"/>
        <v>0</v>
      </c>
      <c r="T104" s="26">
        <f t="shared" ca="1" si="34"/>
        <v>0</v>
      </c>
      <c r="U104" s="26">
        <f t="shared" ca="1" si="34"/>
        <v>0</v>
      </c>
      <c r="V104" s="26">
        <f t="shared" ca="1" si="34"/>
        <v>0</v>
      </c>
      <c r="W104" s="26">
        <f t="shared" ca="1" si="34"/>
        <v>0</v>
      </c>
      <c r="X104" s="26">
        <f t="shared" ca="1" si="34"/>
        <v>0</v>
      </c>
      <c r="Y104" s="26">
        <f t="shared" ref="Y104" ca="1" si="36">Y67-Y66</f>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1:80">
      <c r="C105" s="7" t="s">
        <v>86</v>
      </c>
      <c r="E105" s="26">
        <f t="shared" ca="1" si="34"/>
        <v>0</v>
      </c>
      <c r="F105" s="26">
        <f t="shared" ca="1" si="34"/>
        <v>0</v>
      </c>
      <c r="G105" s="26">
        <f t="shared" ca="1" si="34"/>
        <v>0</v>
      </c>
      <c r="H105" s="26">
        <f t="shared" ca="1" si="34"/>
        <v>0</v>
      </c>
      <c r="I105" s="26">
        <f t="shared" ca="1" si="34"/>
        <v>0</v>
      </c>
      <c r="J105" s="26">
        <f t="shared" ca="1" si="34"/>
        <v>0</v>
      </c>
      <c r="K105" s="26">
        <f t="shared" ca="1" si="34"/>
        <v>0</v>
      </c>
      <c r="L105" s="26">
        <f t="shared" ca="1" si="34"/>
        <v>0</v>
      </c>
      <c r="M105" s="26">
        <f t="shared" ca="1" si="34"/>
        <v>0</v>
      </c>
      <c r="N105" s="26">
        <f t="shared" ca="1" si="34"/>
        <v>0</v>
      </c>
      <c r="O105" s="26">
        <f t="shared" ca="1" si="34"/>
        <v>0</v>
      </c>
      <c r="P105" s="26">
        <f t="shared" ca="1" si="34"/>
        <v>0</v>
      </c>
      <c r="Q105" s="26">
        <f t="shared" ca="1" si="34"/>
        <v>0</v>
      </c>
      <c r="R105" s="26">
        <f t="shared" ca="1" si="34"/>
        <v>0</v>
      </c>
      <c r="S105" s="26">
        <f t="shared" ca="1" si="34"/>
        <v>0</v>
      </c>
      <c r="T105" s="26">
        <f t="shared" ca="1" si="34"/>
        <v>0</v>
      </c>
      <c r="U105" s="26">
        <f t="shared" ca="1" si="34"/>
        <v>0</v>
      </c>
      <c r="V105" s="26">
        <f t="shared" ca="1" si="34"/>
        <v>0</v>
      </c>
      <c r="W105" s="26">
        <f t="shared" ca="1" si="34"/>
        <v>0</v>
      </c>
      <c r="X105" s="26">
        <f t="shared" ca="1" si="34"/>
        <v>0</v>
      </c>
      <c r="Y105" s="26">
        <f t="shared" ref="Y105" ca="1" si="37">Y68-Y67</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1:80">
      <c r="C106" s="7" t="s">
        <v>89</v>
      </c>
      <c r="E106" s="32">
        <f t="shared" ca="1" si="34"/>
        <v>0</v>
      </c>
      <c r="F106" s="32">
        <f t="shared" ca="1" si="34"/>
        <v>0</v>
      </c>
      <c r="G106" s="32">
        <f t="shared" ca="1" si="34"/>
        <v>0</v>
      </c>
      <c r="H106" s="32">
        <f t="shared" ca="1" si="34"/>
        <v>0</v>
      </c>
      <c r="I106" s="32">
        <f t="shared" ca="1" si="34"/>
        <v>0</v>
      </c>
      <c r="J106" s="32">
        <f t="shared" ca="1" si="34"/>
        <v>0</v>
      </c>
      <c r="K106" s="32">
        <f t="shared" ca="1" si="34"/>
        <v>0</v>
      </c>
      <c r="L106" s="32">
        <f t="shared" ca="1" si="34"/>
        <v>0</v>
      </c>
      <c r="M106" s="32">
        <f t="shared" ca="1" si="34"/>
        <v>0</v>
      </c>
      <c r="N106" s="32">
        <f t="shared" ca="1" si="34"/>
        <v>0</v>
      </c>
      <c r="O106" s="32">
        <f t="shared" ca="1" si="34"/>
        <v>0</v>
      </c>
      <c r="P106" s="32">
        <f t="shared" ca="1" si="34"/>
        <v>0</v>
      </c>
      <c r="Q106" s="32">
        <f t="shared" ca="1" si="34"/>
        <v>0</v>
      </c>
      <c r="R106" s="32">
        <f t="shared" ca="1" si="34"/>
        <v>0</v>
      </c>
      <c r="S106" s="32">
        <f t="shared" ca="1" si="34"/>
        <v>0</v>
      </c>
      <c r="T106" s="32">
        <f t="shared" ca="1" si="34"/>
        <v>0</v>
      </c>
      <c r="U106" s="32">
        <f t="shared" ca="1" si="34"/>
        <v>0</v>
      </c>
      <c r="V106" s="32">
        <f t="shared" ca="1" si="34"/>
        <v>0</v>
      </c>
      <c r="W106" s="32">
        <f t="shared" ca="1" si="34"/>
        <v>0</v>
      </c>
      <c r="X106" s="32">
        <f t="shared" ca="1" si="34"/>
        <v>0</v>
      </c>
      <c r="Y106" s="32">
        <f t="shared" ref="Y106" ca="1" si="38">Y69-Y68</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1:80">
      <c r="C107" s="7" t="s">
        <v>92</v>
      </c>
      <c r="E107" s="32">
        <f t="shared" ca="1" si="34"/>
        <v>0</v>
      </c>
      <c r="F107" s="32">
        <f t="shared" ca="1" si="34"/>
        <v>0</v>
      </c>
      <c r="G107" s="32">
        <f t="shared" ca="1" si="34"/>
        <v>0</v>
      </c>
      <c r="H107" s="32">
        <f t="shared" ca="1" si="34"/>
        <v>0</v>
      </c>
      <c r="I107" s="32">
        <f t="shared" ca="1" si="34"/>
        <v>0</v>
      </c>
      <c r="J107" s="32">
        <f t="shared" ca="1" si="34"/>
        <v>0</v>
      </c>
      <c r="K107" s="32">
        <f t="shared" ca="1" si="34"/>
        <v>0</v>
      </c>
      <c r="L107" s="32">
        <f t="shared" ca="1" si="34"/>
        <v>0</v>
      </c>
      <c r="M107" s="32">
        <f t="shared" ca="1" si="34"/>
        <v>0</v>
      </c>
      <c r="N107" s="32">
        <f t="shared" ca="1" si="34"/>
        <v>0</v>
      </c>
      <c r="O107" s="32">
        <f t="shared" ca="1" si="34"/>
        <v>0</v>
      </c>
      <c r="P107" s="32">
        <f t="shared" ca="1" si="34"/>
        <v>0</v>
      </c>
      <c r="Q107" s="32">
        <f t="shared" ca="1" si="34"/>
        <v>0</v>
      </c>
      <c r="R107" s="32">
        <f t="shared" ca="1" si="34"/>
        <v>0</v>
      </c>
      <c r="S107" s="32">
        <f t="shared" ca="1" si="34"/>
        <v>0</v>
      </c>
      <c r="T107" s="32">
        <f t="shared" ca="1" si="34"/>
        <v>0</v>
      </c>
      <c r="U107" s="32">
        <f t="shared" ca="1" si="34"/>
        <v>0</v>
      </c>
      <c r="V107" s="32">
        <f t="shared" ca="1" si="34"/>
        <v>0</v>
      </c>
      <c r="W107" s="32">
        <f t="shared" ca="1" si="34"/>
        <v>0</v>
      </c>
      <c r="X107" s="32">
        <f t="shared" ca="1" si="34"/>
        <v>0</v>
      </c>
      <c r="Y107" s="32">
        <f t="shared" ref="Y107" ca="1" si="39">Y70-Y69</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1:80">
      <c r="C108" s="7" t="s">
        <v>95</v>
      </c>
      <c r="E108" s="32">
        <f t="shared" ca="1" si="34"/>
        <v>0</v>
      </c>
      <c r="F108" s="32">
        <f t="shared" ca="1" si="34"/>
        <v>0</v>
      </c>
      <c r="G108" s="32">
        <f t="shared" ca="1" si="34"/>
        <v>0</v>
      </c>
      <c r="H108" s="32">
        <f t="shared" ca="1" si="34"/>
        <v>0</v>
      </c>
      <c r="I108" s="32">
        <f t="shared" ca="1" si="34"/>
        <v>0</v>
      </c>
      <c r="J108" s="32">
        <f t="shared" ca="1" si="34"/>
        <v>0</v>
      </c>
      <c r="K108" s="32">
        <f t="shared" ca="1" si="34"/>
        <v>0</v>
      </c>
      <c r="L108" s="32">
        <f t="shared" ca="1" si="34"/>
        <v>0</v>
      </c>
      <c r="M108" s="32">
        <f t="shared" ca="1" si="34"/>
        <v>0</v>
      </c>
      <c r="N108" s="32">
        <f t="shared" ca="1" si="34"/>
        <v>0</v>
      </c>
      <c r="O108" s="32">
        <f t="shared" ca="1" si="34"/>
        <v>0</v>
      </c>
      <c r="P108" s="32">
        <f t="shared" ca="1" si="34"/>
        <v>0</v>
      </c>
      <c r="Q108" s="32">
        <f t="shared" ca="1" si="34"/>
        <v>0</v>
      </c>
      <c r="R108" s="32">
        <f t="shared" ca="1" si="34"/>
        <v>0</v>
      </c>
      <c r="S108" s="32">
        <f t="shared" ca="1" si="34"/>
        <v>0</v>
      </c>
      <c r="T108" s="32">
        <f t="shared" ca="1" si="34"/>
        <v>0</v>
      </c>
      <c r="U108" s="32">
        <f t="shared" ca="1" si="34"/>
        <v>0</v>
      </c>
      <c r="V108" s="32">
        <f t="shared" ca="1" si="34"/>
        <v>0</v>
      </c>
      <c r="W108" s="32">
        <f t="shared" ca="1" si="34"/>
        <v>0</v>
      </c>
      <c r="X108" s="32">
        <f t="shared" ca="1" si="34"/>
        <v>0</v>
      </c>
      <c r="Y108" s="32">
        <f t="shared" ref="Y108" ca="1" si="40">Y71-Y70</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1:80">
      <c r="C109" s="7" t="s">
        <v>98</v>
      </c>
      <c r="E109" s="32">
        <f t="shared" ca="1" si="34"/>
        <v>0</v>
      </c>
      <c r="F109" s="32">
        <f t="shared" ca="1" si="34"/>
        <v>0</v>
      </c>
      <c r="G109" s="32">
        <f t="shared" ca="1" si="34"/>
        <v>0</v>
      </c>
      <c r="H109" s="32">
        <f t="shared" ca="1" si="34"/>
        <v>0</v>
      </c>
      <c r="I109" s="32">
        <f t="shared" ca="1" si="34"/>
        <v>0</v>
      </c>
      <c r="J109" s="32">
        <f t="shared" ca="1" si="34"/>
        <v>0</v>
      </c>
      <c r="K109" s="32">
        <f t="shared" ca="1" si="34"/>
        <v>0</v>
      </c>
      <c r="L109" s="32">
        <f t="shared" ca="1" si="34"/>
        <v>0</v>
      </c>
      <c r="M109" s="32">
        <f t="shared" ca="1" si="34"/>
        <v>0</v>
      </c>
      <c r="N109" s="32">
        <f t="shared" ca="1" si="34"/>
        <v>0</v>
      </c>
      <c r="O109" s="32">
        <f t="shared" ca="1" si="34"/>
        <v>0</v>
      </c>
      <c r="P109" s="32">
        <f t="shared" ca="1" si="34"/>
        <v>0</v>
      </c>
      <c r="Q109" s="32">
        <f t="shared" ca="1" si="34"/>
        <v>0</v>
      </c>
      <c r="R109" s="32">
        <f t="shared" ca="1" si="34"/>
        <v>0</v>
      </c>
      <c r="S109" s="32">
        <f t="shared" ca="1" si="34"/>
        <v>0</v>
      </c>
      <c r="T109" s="32">
        <f t="shared" ca="1" si="34"/>
        <v>0</v>
      </c>
      <c r="U109" s="32">
        <f t="shared" ca="1" si="34"/>
        <v>0</v>
      </c>
      <c r="V109" s="32">
        <f t="shared" ca="1" si="34"/>
        <v>0</v>
      </c>
      <c r="W109" s="32">
        <f t="shared" ca="1" si="34"/>
        <v>0</v>
      </c>
      <c r="X109" s="32">
        <f t="shared" ca="1" si="34"/>
        <v>0</v>
      </c>
      <c r="Y109" s="32">
        <f t="shared" ref="Y109" ca="1" si="41">Y72-Y71</f>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1:80">
      <c r="C110" s="7" t="s">
        <v>101</v>
      </c>
      <c r="E110" s="32">
        <f t="shared" ca="1" si="34"/>
        <v>0</v>
      </c>
      <c r="F110" s="32">
        <f t="shared" ca="1" si="34"/>
        <v>0</v>
      </c>
      <c r="G110" s="32">
        <f t="shared" ca="1" si="34"/>
        <v>0</v>
      </c>
      <c r="H110" s="32">
        <f t="shared" ca="1" si="34"/>
        <v>0</v>
      </c>
      <c r="I110" s="32">
        <f t="shared" ca="1" si="34"/>
        <v>0</v>
      </c>
      <c r="J110" s="32">
        <f t="shared" ca="1" si="34"/>
        <v>0</v>
      </c>
      <c r="K110" s="32">
        <f t="shared" ca="1" si="34"/>
        <v>0</v>
      </c>
      <c r="L110" s="32">
        <f t="shared" ca="1" si="34"/>
        <v>0</v>
      </c>
      <c r="M110" s="32">
        <f t="shared" ca="1" si="34"/>
        <v>0</v>
      </c>
      <c r="N110" s="32">
        <f t="shared" ca="1" si="34"/>
        <v>0</v>
      </c>
      <c r="O110" s="32">
        <f t="shared" ca="1" si="34"/>
        <v>0</v>
      </c>
      <c r="P110" s="32">
        <f t="shared" ca="1" si="34"/>
        <v>0</v>
      </c>
      <c r="Q110" s="32">
        <f t="shared" ca="1" si="34"/>
        <v>0</v>
      </c>
      <c r="R110" s="32">
        <f t="shared" ca="1" si="34"/>
        <v>0</v>
      </c>
      <c r="S110" s="32">
        <f t="shared" ca="1" si="34"/>
        <v>0</v>
      </c>
      <c r="T110" s="32">
        <f t="shared" ca="1" si="34"/>
        <v>0</v>
      </c>
      <c r="U110" s="32">
        <f t="shared" ca="1" si="34"/>
        <v>0</v>
      </c>
      <c r="V110" s="32">
        <f t="shared" ca="1" si="34"/>
        <v>0</v>
      </c>
      <c r="W110" s="32">
        <f t="shared" ca="1" si="34"/>
        <v>0</v>
      </c>
      <c r="X110" s="32">
        <f t="shared" ca="1" si="34"/>
        <v>0</v>
      </c>
      <c r="Y110" s="32">
        <f t="shared" ref="Y110" ca="1" si="42">Y73-Y72</f>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1:80">
      <c r="C111" s="7" t="s">
        <v>104</v>
      </c>
      <c r="E111" s="32">
        <f t="shared" ca="1" si="34"/>
        <v>0</v>
      </c>
      <c r="F111" s="32">
        <f t="shared" ca="1" si="34"/>
        <v>0</v>
      </c>
      <c r="G111" s="32">
        <f t="shared" ca="1" si="34"/>
        <v>0</v>
      </c>
      <c r="H111" s="32">
        <f t="shared" ca="1" si="34"/>
        <v>0</v>
      </c>
      <c r="I111" s="32">
        <f t="shared" ca="1" si="34"/>
        <v>0</v>
      </c>
      <c r="J111" s="32">
        <f t="shared" ca="1" si="34"/>
        <v>0</v>
      </c>
      <c r="K111" s="32">
        <f t="shared" ca="1" si="34"/>
        <v>0</v>
      </c>
      <c r="L111" s="32">
        <f t="shared" ca="1" si="34"/>
        <v>0</v>
      </c>
      <c r="M111" s="32">
        <f t="shared" ca="1" si="34"/>
        <v>0</v>
      </c>
      <c r="N111" s="32">
        <f t="shared" ca="1" si="34"/>
        <v>0</v>
      </c>
      <c r="O111" s="32">
        <f t="shared" ca="1" si="34"/>
        <v>0</v>
      </c>
      <c r="P111" s="32">
        <f t="shared" ca="1" si="34"/>
        <v>0</v>
      </c>
      <c r="Q111" s="32">
        <f t="shared" ca="1" si="34"/>
        <v>0</v>
      </c>
      <c r="R111" s="32">
        <f t="shared" ca="1" si="34"/>
        <v>0</v>
      </c>
      <c r="S111" s="32">
        <f t="shared" ca="1" si="34"/>
        <v>0</v>
      </c>
      <c r="T111" s="32">
        <f t="shared" ca="1" si="34"/>
        <v>0</v>
      </c>
      <c r="U111" s="32">
        <f t="shared" ca="1" si="34"/>
        <v>0</v>
      </c>
      <c r="V111" s="32">
        <f t="shared" ca="1" si="34"/>
        <v>0</v>
      </c>
      <c r="W111" s="32">
        <f t="shared" ca="1" si="34"/>
        <v>0</v>
      </c>
      <c r="X111" s="32">
        <f t="shared" ca="1" si="34"/>
        <v>0</v>
      </c>
      <c r="Y111" s="32">
        <f t="shared" ref="Y111" ca="1" si="43">Y74-Y73</f>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1:80">
      <c r="C112" s="7" t="s">
        <v>107</v>
      </c>
      <c r="E112" s="32">
        <f t="shared" ca="1" si="34"/>
        <v>0</v>
      </c>
      <c r="F112" s="32">
        <f t="shared" ca="1" si="34"/>
        <v>0</v>
      </c>
      <c r="G112" s="32">
        <f t="shared" ca="1" si="34"/>
        <v>0</v>
      </c>
      <c r="H112" s="32">
        <f t="shared" ca="1" si="34"/>
        <v>0</v>
      </c>
      <c r="I112" s="32">
        <f t="shared" ca="1" si="34"/>
        <v>0</v>
      </c>
      <c r="J112" s="32">
        <f t="shared" ca="1" si="34"/>
        <v>0</v>
      </c>
      <c r="K112" s="32">
        <f t="shared" ca="1" si="34"/>
        <v>0</v>
      </c>
      <c r="L112" s="32">
        <f t="shared" ca="1" si="34"/>
        <v>0</v>
      </c>
      <c r="M112" s="32">
        <f t="shared" ca="1" si="34"/>
        <v>0</v>
      </c>
      <c r="N112" s="32">
        <f t="shared" ca="1" si="34"/>
        <v>0</v>
      </c>
      <c r="O112" s="32">
        <f t="shared" ca="1" si="34"/>
        <v>0</v>
      </c>
      <c r="P112" s="32">
        <f t="shared" ca="1" si="34"/>
        <v>0</v>
      </c>
      <c r="Q112" s="32">
        <f t="shared" ca="1" si="34"/>
        <v>0</v>
      </c>
      <c r="R112" s="32">
        <f t="shared" ca="1" si="34"/>
        <v>0</v>
      </c>
      <c r="S112" s="32">
        <f t="shared" ca="1" si="34"/>
        <v>0</v>
      </c>
      <c r="T112" s="32">
        <f t="shared" ca="1" si="34"/>
        <v>0</v>
      </c>
      <c r="U112" s="32">
        <f t="shared" ca="1" si="34"/>
        <v>0</v>
      </c>
      <c r="V112" s="32">
        <f t="shared" ca="1" si="34"/>
        <v>0</v>
      </c>
      <c r="W112" s="32">
        <f t="shared" ca="1" si="34"/>
        <v>0</v>
      </c>
      <c r="X112" s="32">
        <f t="shared" ca="1" si="34"/>
        <v>0</v>
      </c>
      <c r="Y112" s="32">
        <f t="shared" ref="Y112" ca="1" si="44">Y75-Y74</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110</v>
      </c>
      <c r="E113" s="32">
        <f t="shared" ca="1" si="34"/>
        <v>0</v>
      </c>
      <c r="F113" s="32">
        <f t="shared" ca="1" si="34"/>
        <v>0</v>
      </c>
      <c r="G113" s="32">
        <f t="shared" ca="1" si="34"/>
        <v>0</v>
      </c>
      <c r="H113" s="32">
        <f t="shared" ca="1" si="34"/>
        <v>0</v>
      </c>
      <c r="I113" s="32">
        <f t="shared" ca="1" si="34"/>
        <v>0</v>
      </c>
      <c r="J113" s="32">
        <f t="shared" ca="1" si="34"/>
        <v>0</v>
      </c>
      <c r="K113" s="32">
        <f t="shared" ca="1" si="34"/>
        <v>0</v>
      </c>
      <c r="L113" s="32">
        <f t="shared" ca="1" si="34"/>
        <v>0</v>
      </c>
      <c r="M113" s="32">
        <f t="shared" ca="1" si="34"/>
        <v>0</v>
      </c>
      <c r="N113" s="32">
        <f t="shared" ca="1" si="34"/>
        <v>0</v>
      </c>
      <c r="O113" s="32">
        <f t="shared" ca="1" si="34"/>
        <v>0</v>
      </c>
      <c r="P113" s="32">
        <f t="shared" ca="1" si="34"/>
        <v>0</v>
      </c>
      <c r="Q113" s="32">
        <f t="shared" ca="1" si="34"/>
        <v>0</v>
      </c>
      <c r="R113" s="32">
        <f t="shared" ca="1" si="34"/>
        <v>0</v>
      </c>
      <c r="S113" s="32">
        <f t="shared" ca="1" si="34"/>
        <v>0</v>
      </c>
      <c r="T113" s="32">
        <f t="shared" ca="1" si="34"/>
        <v>0</v>
      </c>
      <c r="U113" s="32">
        <f t="shared" ca="1" si="34"/>
        <v>0</v>
      </c>
      <c r="V113" s="32">
        <f t="shared" ca="1" si="34"/>
        <v>0</v>
      </c>
      <c r="W113" s="32">
        <f t="shared" ca="1" si="34"/>
        <v>0</v>
      </c>
      <c r="X113" s="32">
        <f t="shared" ca="1" si="34"/>
        <v>0</v>
      </c>
      <c r="Y113" s="32">
        <f t="shared" ref="Y113" ca="1" si="45">Y76-Y75</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113</v>
      </c>
      <c r="E114" s="32">
        <f t="shared" ca="1" si="34"/>
        <v>0</v>
      </c>
      <c r="F114" s="32">
        <f t="shared" ca="1" si="34"/>
        <v>0</v>
      </c>
      <c r="G114" s="32">
        <f t="shared" ca="1" si="34"/>
        <v>0</v>
      </c>
      <c r="H114" s="32">
        <f t="shared" ca="1" si="34"/>
        <v>0</v>
      </c>
      <c r="I114" s="32">
        <f t="shared" ca="1" si="34"/>
        <v>0</v>
      </c>
      <c r="J114" s="32">
        <f t="shared" ca="1" si="34"/>
        <v>0</v>
      </c>
      <c r="K114" s="32">
        <f t="shared" ca="1" si="34"/>
        <v>0</v>
      </c>
      <c r="L114" s="32">
        <f t="shared" ca="1" si="34"/>
        <v>0</v>
      </c>
      <c r="M114" s="32">
        <f t="shared" ca="1" si="34"/>
        <v>0</v>
      </c>
      <c r="N114" s="32">
        <f t="shared" ca="1" si="34"/>
        <v>0</v>
      </c>
      <c r="O114" s="32">
        <f t="shared" ca="1" si="34"/>
        <v>0</v>
      </c>
      <c r="P114" s="32">
        <f t="shared" ca="1" si="34"/>
        <v>0</v>
      </c>
      <c r="Q114" s="32">
        <f t="shared" ca="1" si="34"/>
        <v>0</v>
      </c>
      <c r="R114" s="32">
        <f t="shared" ca="1" si="34"/>
        <v>0</v>
      </c>
      <c r="S114" s="32">
        <f t="shared" ca="1" si="34"/>
        <v>0</v>
      </c>
      <c r="T114" s="32">
        <f t="shared" ca="1" si="34"/>
        <v>0</v>
      </c>
      <c r="U114" s="32">
        <f t="shared" ca="1" si="34"/>
        <v>0</v>
      </c>
      <c r="V114" s="32">
        <f t="shared" ca="1" si="34"/>
        <v>0</v>
      </c>
      <c r="W114" s="32">
        <f t="shared" ca="1" si="34"/>
        <v>0</v>
      </c>
      <c r="X114" s="32">
        <f t="shared" ca="1" si="34"/>
        <v>0</v>
      </c>
      <c r="Y114" s="32">
        <f t="shared" ref="Y114" ca="1" si="46">Y77-Y76</f>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116</v>
      </c>
      <c r="E115" s="32">
        <f t="shared" ca="1" si="34"/>
        <v>0</v>
      </c>
      <c r="F115" s="32">
        <f t="shared" ca="1" si="34"/>
        <v>0</v>
      </c>
      <c r="G115" s="32">
        <f t="shared" ca="1" si="34"/>
        <v>0</v>
      </c>
      <c r="H115" s="32">
        <f t="shared" ref="H115:X115" ca="1" si="47">H78-H77</f>
        <v>0</v>
      </c>
      <c r="I115" s="32">
        <f t="shared" ca="1" si="47"/>
        <v>0</v>
      </c>
      <c r="J115" s="32">
        <f t="shared" ca="1" si="47"/>
        <v>0</v>
      </c>
      <c r="K115" s="32">
        <f t="shared" ca="1" si="47"/>
        <v>0</v>
      </c>
      <c r="L115" s="32">
        <f t="shared" ca="1" si="47"/>
        <v>0</v>
      </c>
      <c r="M115" s="32">
        <f t="shared" ca="1" si="47"/>
        <v>0</v>
      </c>
      <c r="N115" s="32">
        <f t="shared" ca="1" si="47"/>
        <v>0</v>
      </c>
      <c r="O115" s="32">
        <f t="shared" ca="1" si="47"/>
        <v>0</v>
      </c>
      <c r="P115" s="32">
        <f t="shared" ca="1" si="47"/>
        <v>0</v>
      </c>
      <c r="Q115" s="32">
        <f t="shared" ca="1" si="47"/>
        <v>0</v>
      </c>
      <c r="R115" s="32">
        <f t="shared" ca="1" si="47"/>
        <v>0</v>
      </c>
      <c r="S115" s="32">
        <f t="shared" ca="1" si="47"/>
        <v>0</v>
      </c>
      <c r="T115" s="32">
        <f t="shared" ca="1" si="47"/>
        <v>0</v>
      </c>
      <c r="U115" s="32">
        <f t="shared" ca="1" si="47"/>
        <v>0</v>
      </c>
      <c r="V115" s="32">
        <f t="shared" ca="1" si="47"/>
        <v>0</v>
      </c>
      <c r="W115" s="32">
        <f t="shared" ca="1" si="47"/>
        <v>0</v>
      </c>
      <c r="X115" s="32">
        <f t="shared" ca="1" si="47"/>
        <v>0</v>
      </c>
      <c r="Y115" s="32">
        <f t="shared" ref="Y115" ca="1" si="48">Y78-Y77</f>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119</v>
      </c>
      <c r="E116" s="32">
        <f t="shared" ref="E116:X116" ca="1" si="49">E79-E78</f>
        <v>0</v>
      </c>
      <c r="F116" s="32">
        <f t="shared" ca="1" si="49"/>
        <v>0</v>
      </c>
      <c r="G116" s="32">
        <f t="shared" ca="1" si="49"/>
        <v>0</v>
      </c>
      <c r="H116" s="32">
        <f t="shared" ca="1" si="49"/>
        <v>0</v>
      </c>
      <c r="I116" s="32">
        <f t="shared" ca="1" si="49"/>
        <v>0</v>
      </c>
      <c r="J116" s="32">
        <f t="shared" ca="1" si="49"/>
        <v>0</v>
      </c>
      <c r="K116" s="32">
        <f t="shared" ca="1" si="49"/>
        <v>0</v>
      </c>
      <c r="L116" s="32">
        <f t="shared" ca="1" si="49"/>
        <v>0</v>
      </c>
      <c r="M116" s="32">
        <f t="shared" ca="1" si="49"/>
        <v>0</v>
      </c>
      <c r="N116" s="32">
        <f t="shared" ca="1" si="49"/>
        <v>0</v>
      </c>
      <c r="O116" s="32">
        <f t="shared" ca="1" si="49"/>
        <v>0</v>
      </c>
      <c r="P116" s="32">
        <f t="shared" ca="1" si="49"/>
        <v>0</v>
      </c>
      <c r="Q116" s="32">
        <f t="shared" ca="1" si="49"/>
        <v>0</v>
      </c>
      <c r="R116" s="32">
        <f t="shared" ca="1" si="49"/>
        <v>0</v>
      </c>
      <c r="S116" s="32">
        <f t="shared" ca="1" si="49"/>
        <v>0</v>
      </c>
      <c r="T116" s="32">
        <f t="shared" ca="1" si="49"/>
        <v>0</v>
      </c>
      <c r="U116" s="32">
        <f t="shared" ca="1" si="49"/>
        <v>0</v>
      </c>
      <c r="V116" s="32">
        <f t="shared" ca="1" si="49"/>
        <v>0</v>
      </c>
      <c r="W116" s="32">
        <f t="shared" ca="1" si="49"/>
        <v>0</v>
      </c>
      <c r="X116" s="32">
        <f t="shared" ca="1" si="49"/>
        <v>0</v>
      </c>
      <c r="Y116" s="32">
        <f t="shared" ref="Y116" ca="1" si="50">Y79-Y78</f>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122</v>
      </c>
      <c r="E117" s="32">
        <f t="shared" ref="E117:X117" ca="1" si="51">E80-E79</f>
        <v>0</v>
      </c>
      <c r="F117" s="32">
        <f t="shared" ca="1" si="51"/>
        <v>0</v>
      </c>
      <c r="G117" s="32">
        <f t="shared" ca="1" si="51"/>
        <v>0</v>
      </c>
      <c r="H117" s="32">
        <f t="shared" ca="1" si="51"/>
        <v>0</v>
      </c>
      <c r="I117" s="32">
        <f t="shared" ca="1" si="51"/>
        <v>0</v>
      </c>
      <c r="J117" s="32">
        <f t="shared" ca="1" si="51"/>
        <v>0</v>
      </c>
      <c r="K117" s="32">
        <f t="shared" ca="1" si="51"/>
        <v>0</v>
      </c>
      <c r="L117" s="32">
        <f t="shared" ca="1" si="51"/>
        <v>0</v>
      </c>
      <c r="M117" s="32">
        <f t="shared" ca="1" si="51"/>
        <v>0</v>
      </c>
      <c r="N117" s="32">
        <f t="shared" ca="1" si="51"/>
        <v>0</v>
      </c>
      <c r="O117" s="32">
        <f t="shared" ca="1" si="51"/>
        <v>0</v>
      </c>
      <c r="P117" s="32">
        <f t="shared" ca="1" si="51"/>
        <v>0</v>
      </c>
      <c r="Q117" s="32">
        <f t="shared" ca="1" si="51"/>
        <v>0</v>
      </c>
      <c r="R117" s="32">
        <f t="shared" ca="1" si="51"/>
        <v>0</v>
      </c>
      <c r="S117" s="32">
        <f t="shared" ca="1" si="51"/>
        <v>0</v>
      </c>
      <c r="T117" s="32">
        <f t="shared" ca="1" si="51"/>
        <v>0</v>
      </c>
      <c r="U117" s="32">
        <f t="shared" ca="1" si="51"/>
        <v>0</v>
      </c>
      <c r="V117" s="32">
        <f t="shared" ca="1" si="51"/>
        <v>0</v>
      </c>
      <c r="W117" s="32">
        <f t="shared" ca="1" si="51"/>
        <v>0</v>
      </c>
      <c r="X117" s="32">
        <f t="shared" ca="1" si="51"/>
        <v>0</v>
      </c>
      <c r="Y117" s="32">
        <f t="shared" ref="Y117" ca="1" si="52">Y80-Y79</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125</v>
      </c>
      <c r="E118" s="32">
        <f t="shared" ref="E118:X118" ca="1" si="53">E81-E80</f>
        <v>0</v>
      </c>
      <c r="F118" s="32">
        <f t="shared" ca="1" si="53"/>
        <v>0</v>
      </c>
      <c r="G118" s="32">
        <f t="shared" ca="1" si="53"/>
        <v>0</v>
      </c>
      <c r="H118" s="32">
        <f t="shared" ca="1" si="53"/>
        <v>0</v>
      </c>
      <c r="I118" s="32">
        <f t="shared" ca="1" si="53"/>
        <v>0</v>
      </c>
      <c r="J118" s="32">
        <f t="shared" ca="1" si="53"/>
        <v>0</v>
      </c>
      <c r="K118" s="32">
        <f t="shared" ca="1" si="53"/>
        <v>0</v>
      </c>
      <c r="L118" s="32">
        <f t="shared" ca="1" si="53"/>
        <v>0</v>
      </c>
      <c r="M118" s="32">
        <f t="shared" ca="1" si="53"/>
        <v>0</v>
      </c>
      <c r="N118" s="32">
        <f t="shared" ca="1" si="53"/>
        <v>0</v>
      </c>
      <c r="O118" s="32">
        <f t="shared" ca="1" si="53"/>
        <v>0</v>
      </c>
      <c r="P118" s="32">
        <f t="shared" ca="1" si="53"/>
        <v>0</v>
      </c>
      <c r="Q118" s="32">
        <f t="shared" ca="1" si="53"/>
        <v>0</v>
      </c>
      <c r="R118" s="32">
        <f t="shared" ca="1" si="53"/>
        <v>0</v>
      </c>
      <c r="S118" s="32">
        <f t="shared" ca="1" si="53"/>
        <v>0</v>
      </c>
      <c r="T118" s="32">
        <f t="shared" ca="1" si="53"/>
        <v>0</v>
      </c>
      <c r="U118" s="32">
        <f t="shared" ca="1" si="53"/>
        <v>0</v>
      </c>
      <c r="V118" s="32">
        <f t="shared" ca="1" si="53"/>
        <v>0</v>
      </c>
      <c r="W118" s="32">
        <f t="shared" ca="1" si="53"/>
        <v>0</v>
      </c>
      <c r="X118" s="32">
        <f t="shared" ca="1" si="53"/>
        <v>0</v>
      </c>
      <c r="Y118" s="32">
        <f t="shared" ref="Y118" ca="1" si="54">Y81-Y80</f>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128</v>
      </c>
      <c r="E119" s="32">
        <f t="shared" ref="E119:X119" ca="1" si="55">E82-E81</f>
        <v>0</v>
      </c>
      <c r="F119" s="32">
        <f t="shared" ca="1" si="55"/>
        <v>0</v>
      </c>
      <c r="G119" s="32">
        <f t="shared" ca="1" si="55"/>
        <v>0</v>
      </c>
      <c r="H119" s="32">
        <f t="shared" ca="1" si="55"/>
        <v>0</v>
      </c>
      <c r="I119" s="32">
        <f t="shared" ca="1" si="55"/>
        <v>0</v>
      </c>
      <c r="J119" s="32">
        <f t="shared" ca="1" si="55"/>
        <v>0</v>
      </c>
      <c r="K119" s="32">
        <f t="shared" ca="1" si="55"/>
        <v>0</v>
      </c>
      <c r="L119" s="32">
        <f t="shared" ca="1" si="55"/>
        <v>0</v>
      </c>
      <c r="M119" s="32">
        <f t="shared" ca="1" si="55"/>
        <v>0</v>
      </c>
      <c r="N119" s="32">
        <f t="shared" ca="1" si="55"/>
        <v>0</v>
      </c>
      <c r="O119" s="32">
        <f t="shared" ca="1" si="55"/>
        <v>0</v>
      </c>
      <c r="P119" s="32">
        <f t="shared" ca="1" si="55"/>
        <v>0</v>
      </c>
      <c r="Q119" s="32">
        <f t="shared" ca="1" si="55"/>
        <v>0</v>
      </c>
      <c r="R119" s="32">
        <f t="shared" ca="1" si="55"/>
        <v>0</v>
      </c>
      <c r="S119" s="32">
        <f t="shared" ca="1" si="55"/>
        <v>0</v>
      </c>
      <c r="T119" s="32">
        <f t="shared" ca="1" si="55"/>
        <v>0</v>
      </c>
      <c r="U119" s="32">
        <f t="shared" ca="1" si="55"/>
        <v>0</v>
      </c>
      <c r="V119" s="32">
        <f t="shared" ca="1" si="55"/>
        <v>0</v>
      </c>
      <c r="W119" s="32">
        <f t="shared" ca="1" si="55"/>
        <v>0</v>
      </c>
      <c r="X119" s="32">
        <f t="shared" ca="1" si="55"/>
        <v>0</v>
      </c>
      <c r="Y119" s="32">
        <f t="shared" ref="Y119" ca="1" si="56">Y82-Y81</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131</v>
      </c>
      <c r="E120" s="32">
        <f t="shared" ref="E120:X120" ca="1" si="57">E83-E82</f>
        <v>0</v>
      </c>
      <c r="F120" s="32">
        <f t="shared" ca="1" si="57"/>
        <v>0</v>
      </c>
      <c r="G120" s="32">
        <f t="shared" ca="1" si="57"/>
        <v>0</v>
      </c>
      <c r="H120" s="32">
        <f t="shared" ca="1" si="57"/>
        <v>0</v>
      </c>
      <c r="I120" s="32">
        <f t="shared" ca="1" si="57"/>
        <v>0</v>
      </c>
      <c r="J120" s="32">
        <f t="shared" ca="1" si="57"/>
        <v>0</v>
      </c>
      <c r="K120" s="32">
        <f t="shared" ca="1" si="57"/>
        <v>0</v>
      </c>
      <c r="L120" s="32">
        <f t="shared" ca="1" si="57"/>
        <v>0</v>
      </c>
      <c r="M120" s="32">
        <f t="shared" ca="1" si="57"/>
        <v>0</v>
      </c>
      <c r="N120" s="32">
        <f t="shared" ca="1" si="57"/>
        <v>0</v>
      </c>
      <c r="O120" s="32">
        <f t="shared" ca="1" si="57"/>
        <v>0</v>
      </c>
      <c r="P120" s="32">
        <f t="shared" ca="1" si="57"/>
        <v>0</v>
      </c>
      <c r="Q120" s="32">
        <f t="shared" ca="1" si="57"/>
        <v>0</v>
      </c>
      <c r="R120" s="32">
        <f t="shared" ca="1" si="57"/>
        <v>0</v>
      </c>
      <c r="S120" s="32">
        <f t="shared" ca="1" si="57"/>
        <v>0</v>
      </c>
      <c r="T120" s="32">
        <f t="shared" ca="1" si="57"/>
        <v>0</v>
      </c>
      <c r="U120" s="32">
        <f t="shared" ca="1" si="57"/>
        <v>0</v>
      </c>
      <c r="V120" s="32">
        <f t="shared" ca="1" si="57"/>
        <v>0</v>
      </c>
      <c r="W120" s="32">
        <f t="shared" ca="1" si="57"/>
        <v>0</v>
      </c>
      <c r="X120" s="32">
        <f t="shared" ca="1" si="57"/>
        <v>0</v>
      </c>
      <c r="Y120" s="32">
        <f t="shared" ref="Y120" ca="1" si="58">Y83-Y82</f>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134</v>
      </c>
      <c r="E121" s="32">
        <f t="shared" ref="E121:X121" ca="1" si="59">E84-E83</f>
        <v>0</v>
      </c>
      <c r="F121" s="32">
        <f t="shared" ca="1" si="59"/>
        <v>0</v>
      </c>
      <c r="G121" s="32">
        <f t="shared" ca="1" si="59"/>
        <v>0</v>
      </c>
      <c r="H121" s="32">
        <f t="shared" ca="1" si="59"/>
        <v>0</v>
      </c>
      <c r="I121" s="32">
        <f t="shared" ca="1" si="59"/>
        <v>0</v>
      </c>
      <c r="J121" s="32">
        <f t="shared" ca="1" si="59"/>
        <v>0</v>
      </c>
      <c r="K121" s="32">
        <f t="shared" ca="1" si="59"/>
        <v>0</v>
      </c>
      <c r="L121" s="32">
        <f t="shared" ca="1" si="59"/>
        <v>0</v>
      </c>
      <c r="M121" s="32">
        <f t="shared" ca="1" si="59"/>
        <v>0</v>
      </c>
      <c r="N121" s="32">
        <f t="shared" ca="1" si="59"/>
        <v>0</v>
      </c>
      <c r="O121" s="32">
        <f t="shared" ca="1" si="59"/>
        <v>0</v>
      </c>
      <c r="P121" s="32">
        <f t="shared" ca="1" si="59"/>
        <v>0</v>
      </c>
      <c r="Q121" s="32">
        <f t="shared" ca="1" si="59"/>
        <v>0</v>
      </c>
      <c r="R121" s="32">
        <f t="shared" ca="1" si="59"/>
        <v>0</v>
      </c>
      <c r="S121" s="32">
        <f t="shared" ca="1" si="59"/>
        <v>0</v>
      </c>
      <c r="T121" s="32">
        <f t="shared" ca="1" si="59"/>
        <v>0</v>
      </c>
      <c r="U121" s="32">
        <f t="shared" ca="1" si="59"/>
        <v>0</v>
      </c>
      <c r="V121" s="32">
        <f t="shared" ca="1" si="59"/>
        <v>0</v>
      </c>
      <c r="W121" s="32">
        <f t="shared" ca="1" si="59"/>
        <v>0</v>
      </c>
      <c r="X121" s="32">
        <f t="shared" ca="1" si="59"/>
        <v>0</v>
      </c>
      <c r="Y121" s="32">
        <f t="shared" ref="Y121" ca="1" si="60">Y84-Y83</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137</v>
      </c>
      <c r="E122" s="32">
        <f t="shared" ref="E122:X122" ca="1" si="61">E85-E84</f>
        <v>0</v>
      </c>
      <c r="F122" s="32">
        <f t="shared" ca="1" si="61"/>
        <v>0</v>
      </c>
      <c r="G122" s="32">
        <f t="shared" ca="1" si="61"/>
        <v>0</v>
      </c>
      <c r="H122" s="32">
        <f t="shared" ca="1" si="61"/>
        <v>0</v>
      </c>
      <c r="I122" s="32">
        <f t="shared" ca="1" si="61"/>
        <v>0</v>
      </c>
      <c r="J122" s="32">
        <f t="shared" ca="1" si="61"/>
        <v>0</v>
      </c>
      <c r="K122" s="32">
        <f t="shared" ca="1" si="61"/>
        <v>0</v>
      </c>
      <c r="L122" s="32">
        <f t="shared" ca="1" si="61"/>
        <v>0</v>
      </c>
      <c r="M122" s="32">
        <f t="shared" ca="1" si="61"/>
        <v>0</v>
      </c>
      <c r="N122" s="32">
        <f t="shared" ca="1" si="61"/>
        <v>0</v>
      </c>
      <c r="O122" s="32">
        <f t="shared" ca="1" si="61"/>
        <v>0</v>
      </c>
      <c r="P122" s="32">
        <f t="shared" ca="1" si="61"/>
        <v>0</v>
      </c>
      <c r="Q122" s="32">
        <f t="shared" ca="1" si="61"/>
        <v>0</v>
      </c>
      <c r="R122" s="32">
        <f t="shared" ca="1" si="61"/>
        <v>0</v>
      </c>
      <c r="S122" s="32">
        <f t="shared" ca="1" si="61"/>
        <v>0</v>
      </c>
      <c r="T122" s="32">
        <f t="shared" ca="1" si="61"/>
        <v>0</v>
      </c>
      <c r="U122" s="32">
        <f t="shared" ca="1" si="61"/>
        <v>0</v>
      </c>
      <c r="V122" s="32">
        <f t="shared" ca="1" si="61"/>
        <v>0</v>
      </c>
      <c r="W122" s="32">
        <f t="shared" ca="1" si="61"/>
        <v>0</v>
      </c>
      <c r="X122" s="32">
        <f t="shared" ca="1" si="61"/>
        <v>0</v>
      </c>
      <c r="Y122" s="32">
        <f t="shared" ref="Y122" ca="1" si="62">Y85-Y84</f>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558</v>
      </c>
      <c r="E123" s="32">
        <f t="shared" ref="E123:X123" ca="1" si="63">E86-E85</f>
        <v>0</v>
      </c>
      <c r="F123" s="32">
        <f t="shared" ca="1" si="63"/>
        <v>0</v>
      </c>
      <c r="G123" s="32">
        <f t="shared" ca="1" si="63"/>
        <v>0</v>
      </c>
      <c r="H123" s="32">
        <f t="shared" ca="1" si="63"/>
        <v>0</v>
      </c>
      <c r="I123" s="32">
        <f t="shared" ca="1" si="63"/>
        <v>0</v>
      </c>
      <c r="J123" s="32">
        <f t="shared" ca="1" si="63"/>
        <v>0</v>
      </c>
      <c r="K123" s="32">
        <f t="shared" ca="1" si="63"/>
        <v>0</v>
      </c>
      <c r="L123" s="32">
        <f t="shared" ca="1" si="63"/>
        <v>0</v>
      </c>
      <c r="M123" s="32">
        <f t="shared" ca="1" si="63"/>
        <v>0</v>
      </c>
      <c r="N123" s="32">
        <f t="shared" ca="1" si="63"/>
        <v>0</v>
      </c>
      <c r="O123" s="32">
        <f t="shared" ca="1" si="63"/>
        <v>0</v>
      </c>
      <c r="P123" s="32">
        <f t="shared" ca="1" si="63"/>
        <v>0</v>
      </c>
      <c r="Q123" s="32">
        <f t="shared" ca="1" si="63"/>
        <v>0</v>
      </c>
      <c r="R123" s="32">
        <f t="shared" ca="1" si="63"/>
        <v>0</v>
      </c>
      <c r="S123" s="32">
        <f t="shared" ca="1" si="63"/>
        <v>0</v>
      </c>
      <c r="T123" s="32">
        <f t="shared" ca="1" si="63"/>
        <v>0</v>
      </c>
      <c r="U123" s="32">
        <f t="shared" ca="1" si="63"/>
        <v>0</v>
      </c>
      <c r="V123" s="32">
        <f t="shared" ca="1" si="63"/>
        <v>0</v>
      </c>
      <c r="W123" s="32">
        <f t="shared" ca="1" si="63"/>
        <v>0</v>
      </c>
      <c r="X123" s="32">
        <f t="shared" ca="1" si="63"/>
        <v>0</v>
      </c>
      <c r="Y123" s="32">
        <f t="shared" ref="Y123" ca="1" si="64">Y86-Y85</f>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C124" s="7" t="s">
        <v>560</v>
      </c>
      <c r="E124" s="32">
        <f t="shared" ref="E124:X124" ca="1" si="65">E87-E86</f>
        <v>0</v>
      </c>
      <c r="F124" s="32">
        <f t="shared" ca="1" si="65"/>
        <v>0</v>
      </c>
      <c r="G124" s="32">
        <f t="shared" ca="1" si="65"/>
        <v>0</v>
      </c>
      <c r="H124" s="32">
        <f t="shared" ca="1" si="65"/>
        <v>0</v>
      </c>
      <c r="I124" s="32">
        <f t="shared" ca="1" si="65"/>
        <v>0</v>
      </c>
      <c r="J124" s="32">
        <f t="shared" ca="1" si="65"/>
        <v>0</v>
      </c>
      <c r="K124" s="32">
        <f t="shared" ca="1" si="65"/>
        <v>0</v>
      </c>
      <c r="L124" s="32">
        <f t="shared" ca="1" si="65"/>
        <v>0</v>
      </c>
      <c r="M124" s="32">
        <f t="shared" ca="1" si="65"/>
        <v>0</v>
      </c>
      <c r="N124" s="32">
        <f t="shared" ca="1" si="65"/>
        <v>0</v>
      </c>
      <c r="O124" s="32">
        <f t="shared" ca="1" si="65"/>
        <v>0</v>
      </c>
      <c r="P124" s="32">
        <f t="shared" ca="1" si="65"/>
        <v>0</v>
      </c>
      <c r="Q124" s="32">
        <f t="shared" ca="1" si="65"/>
        <v>0</v>
      </c>
      <c r="R124" s="32">
        <f t="shared" ca="1" si="65"/>
        <v>0</v>
      </c>
      <c r="S124" s="32">
        <f t="shared" ca="1" si="65"/>
        <v>0</v>
      </c>
      <c r="T124" s="32">
        <f t="shared" ca="1" si="65"/>
        <v>0</v>
      </c>
      <c r="U124" s="32">
        <f t="shared" ca="1" si="65"/>
        <v>0</v>
      </c>
      <c r="V124" s="32">
        <f t="shared" ca="1" si="65"/>
        <v>0</v>
      </c>
      <c r="W124" s="32">
        <f t="shared" ca="1" si="65"/>
        <v>0</v>
      </c>
      <c r="X124" s="32">
        <f t="shared" ca="1" si="65"/>
        <v>0</v>
      </c>
      <c r="Y124" s="32">
        <f t="shared" ref="Y124" ca="1" si="66">Y87-Y86</f>
        <v>0</v>
      </c>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c r="C125" s="7" t="s">
        <v>563</v>
      </c>
      <c r="E125" s="32">
        <f t="shared" ref="E125:X125" ca="1" si="67">E88-E87</f>
        <v>0</v>
      </c>
      <c r="F125" s="32">
        <f t="shared" ca="1" si="67"/>
        <v>0</v>
      </c>
      <c r="G125" s="32">
        <f t="shared" ca="1" si="67"/>
        <v>0</v>
      </c>
      <c r="H125" s="32">
        <f t="shared" ca="1" si="67"/>
        <v>0</v>
      </c>
      <c r="I125" s="32">
        <f t="shared" ca="1" si="67"/>
        <v>0</v>
      </c>
      <c r="J125" s="32">
        <f t="shared" ca="1" si="67"/>
        <v>0</v>
      </c>
      <c r="K125" s="32">
        <f t="shared" ca="1" si="67"/>
        <v>0</v>
      </c>
      <c r="L125" s="32">
        <f t="shared" ca="1" si="67"/>
        <v>0</v>
      </c>
      <c r="M125" s="32">
        <f t="shared" ca="1" si="67"/>
        <v>0</v>
      </c>
      <c r="N125" s="32">
        <f t="shared" ca="1" si="67"/>
        <v>0</v>
      </c>
      <c r="O125" s="32">
        <f t="shared" ca="1" si="67"/>
        <v>0</v>
      </c>
      <c r="P125" s="32">
        <f t="shared" ca="1" si="67"/>
        <v>0</v>
      </c>
      <c r="Q125" s="32">
        <f t="shared" ca="1" si="67"/>
        <v>0</v>
      </c>
      <c r="R125" s="32">
        <f t="shared" ca="1" si="67"/>
        <v>0</v>
      </c>
      <c r="S125" s="32">
        <f t="shared" ca="1" si="67"/>
        <v>0</v>
      </c>
      <c r="T125" s="32">
        <f t="shared" ca="1" si="67"/>
        <v>0</v>
      </c>
      <c r="U125" s="32">
        <f t="shared" ca="1" si="67"/>
        <v>0</v>
      </c>
      <c r="V125" s="32">
        <f t="shared" ca="1" si="67"/>
        <v>0</v>
      </c>
      <c r="W125" s="32">
        <f t="shared" ca="1" si="67"/>
        <v>0</v>
      </c>
      <c r="X125" s="32">
        <f t="shared" ca="1" si="67"/>
        <v>0</v>
      </c>
      <c r="Y125" s="32">
        <f t="shared" ref="Y125" ca="1" si="68">Y88-Y87</f>
        <v>0</v>
      </c>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c r="C126" s="7" t="s">
        <v>566</v>
      </c>
      <c r="E126" s="32">
        <f t="shared" ref="E126:X126" ca="1" si="69">E89-E88</f>
        <v>0</v>
      </c>
      <c r="F126" s="32">
        <f t="shared" ca="1" si="69"/>
        <v>0</v>
      </c>
      <c r="G126" s="32">
        <f t="shared" ca="1" si="69"/>
        <v>0</v>
      </c>
      <c r="H126" s="32">
        <f t="shared" ca="1" si="69"/>
        <v>0</v>
      </c>
      <c r="I126" s="32">
        <f t="shared" ca="1" si="69"/>
        <v>0</v>
      </c>
      <c r="J126" s="32">
        <f t="shared" ca="1" si="69"/>
        <v>0</v>
      </c>
      <c r="K126" s="32">
        <f t="shared" ca="1" si="69"/>
        <v>0</v>
      </c>
      <c r="L126" s="32">
        <f t="shared" ca="1" si="69"/>
        <v>0</v>
      </c>
      <c r="M126" s="32">
        <f t="shared" ca="1" si="69"/>
        <v>0</v>
      </c>
      <c r="N126" s="32">
        <f t="shared" ca="1" si="69"/>
        <v>0</v>
      </c>
      <c r="O126" s="32">
        <f t="shared" ca="1" si="69"/>
        <v>0</v>
      </c>
      <c r="P126" s="32">
        <f t="shared" ca="1" si="69"/>
        <v>0</v>
      </c>
      <c r="Q126" s="32">
        <f t="shared" ca="1" si="69"/>
        <v>0</v>
      </c>
      <c r="R126" s="32">
        <f t="shared" ca="1" si="69"/>
        <v>0</v>
      </c>
      <c r="S126" s="32">
        <f t="shared" ca="1" si="69"/>
        <v>0</v>
      </c>
      <c r="T126" s="32">
        <f t="shared" ca="1" si="69"/>
        <v>0</v>
      </c>
      <c r="U126" s="32">
        <f t="shared" ca="1" si="69"/>
        <v>0</v>
      </c>
      <c r="V126" s="32">
        <f t="shared" ca="1" si="69"/>
        <v>0</v>
      </c>
      <c r="W126" s="32">
        <f t="shared" ca="1" si="69"/>
        <v>0</v>
      </c>
      <c r="X126" s="32">
        <f t="shared" ca="1" si="69"/>
        <v>0</v>
      </c>
      <c r="Y126" s="32">
        <f t="shared" ref="Y126" ca="1" si="70">Y89-Y88</f>
        <v>0</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7" spans="3:80">
      <c r="C127" s="7" t="s">
        <v>569</v>
      </c>
      <c r="E127" s="32">
        <f t="shared" ref="E127:X127" ca="1" si="71">E90-E89</f>
        <v>0</v>
      </c>
      <c r="F127" s="32">
        <f t="shared" ca="1" si="71"/>
        <v>0</v>
      </c>
      <c r="G127" s="32">
        <f t="shared" ca="1" si="71"/>
        <v>0</v>
      </c>
      <c r="H127" s="32">
        <f t="shared" ca="1" si="71"/>
        <v>0</v>
      </c>
      <c r="I127" s="32">
        <f t="shared" ca="1" si="71"/>
        <v>0</v>
      </c>
      <c r="J127" s="32">
        <f t="shared" ca="1" si="71"/>
        <v>0</v>
      </c>
      <c r="K127" s="32">
        <f t="shared" ca="1" si="71"/>
        <v>0</v>
      </c>
      <c r="L127" s="32">
        <f t="shared" ca="1" si="71"/>
        <v>0</v>
      </c>
      <c r="M127" s="32">
        <f t="shared" ca="1" si="71"/>
        <v>0</v>
      </c>
      <c r="N127" s="32">
        <f t="shared" ca="1" si="71"/>
        <v>0</v>
      </c>
      <c r="O127" s="32">
        <f t="shared" ca="1" si="71"/>
        <v>0</v>
      </c>
      <c r="P127" s="32">
        <f t="shared" ca="1" si="71"/>
        <v>0</v>
      </c>
      <c r="Q127" s="32">
        <f t="shared" ca="1" si="71"/>
        <v>0</v>
      </c>
      <c r="R127" s="32">
        <f t="shared" ca="1" si="71"/>
        <v>0</v>
      </c>
      <c r="S127" s="32">
        <f t="shared" ca="1" si="71"/>
        <v>0</v>
      </c>
      <c r="T127" s="32">
        <f t="shared" ca="1" si="71"/>
        <v>0</v>
      </c>
      <c r="U127" s="32">
        <f t="shared" ca="1" si="71"/>
        <v>0</v>
      </c>
      <c r="V127" s="32">
        <f t="shared" ca="1" si="71"/>
        <v>0</v>
      </c>
      <c r="W127" s="32">
        <f t="shared" ca="1" si="71"/>
        <v>0</v>
      </c>
      <c r="X127" s="32">
        <f t="shared" ca="1" si="71"/>
        <v>0</v>
      </c>
      <c r="Y127" s="32">
        <f t="shared" ref="Y127" ca="1" si="72">Y90-Y89</f>
        <v>0</v>
      </c>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row>
    <row r="128" spans="3:80">
      <c r="C128" s="7" t="s">
        <v>572</v>
      </c>
      <c r="E128" s="32">
        <f t="shared" ref="E128:X128" ca="1" si="73">E91-E90</f>
        <v>0</v>
      </c>
      <c r="F128" s="32">
        <f t="shared" ca="1" si="73"/>
        <v>0</v>
      </c>
      <c r="G128" s="32">
        <f t="shared" ca="1" si="73"/>
        <v>0</v>
      </c>
      <c r="H128" s="32">
        <f t="shared" ca="1" si="73"/>
        <v>0</v>
      </c>
      <c r="I128" s="32">
        <f t="shared" ca="1" si="73"/>
        <v>0</v>
      </c>
      <c r="J128" s="32">
        <f t="shared" ca="1" si="73"/>
        <v>0</v>
      </c>
      <c r="K128" s="32">
        <f t="shared" ca="1" si="73"/>
        <v>0</v>
      </c>
      <c r="L128" s="32">
        <f t="shared" ca="1" si="73"/>
        <v>0</v>
      </c>
      <c r="M128" s="32">
        <f t="shared" ca="1" si="73"/>
        <v>0</v>
      </c>
      <c r="N128" s="32">
        <f t="shared" ca="1" si="73"/>
        <v>0</v>
      </c>
      <c r="O128" s="32">
        <f t="shared" ca="1" si="73"/>
        <v>0</v>
      </c>
      <c r="P128" s="32">
        <f t="shared" ca="1" si="73"/>
        <v>0</v>
      </c>
      <c r="Q128" s="32">
        <f t="shared" ca="1" si="73"/>
        <v>0</v>
      </c>
      <c r="R128" s="32">
        <f t="shared" ca="1" si="73"/>
        <v>0</v>
      </c>
      <c r="S128" s="32">
        <f t="shared" ca="1" si="73"/>
        <v>0</v>
      </c>
      <c r="T128" s="32">
        <f t="shared" ca="1" si="73"/>
        <v>0</v>
      </c>
      <c r="U128" s="32">
        <f t="shared" ca="1" si="73"/>
        <v>0</v>
      </c>
      <c r="V128" s="32">
        <f t="shared" ca="1" si="73"/>
        <v>0</v>
      </c>
      <c r="W128" s="32">
        <f t="shared" ca="1" si="73"/>
        <v>0</v>
      </c>
      <c r="X128" s="32">
        <f t="shared" ca="1" si="73"/>
        <v>0</v>
      </c>
      <c r="Y128" s="32">
        <f t="shared" ref="Y128" ca="1" si="74">Y91-Y90</f>
        <v>0</v>
      </c>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row>
    <row r="129" spans="1:80">
      <c r="C129" s="7" t="s">
        <v>575</v>
      </c>
      <c r="E129" s="32">
        <f t="shared" ref="E129:X129" ca="1" si="75">E92-E91</f>
        <v>0</v>
      </c>
      <c r="F129" s="32">
        <f t="shared" ca="1" si="75"/>
        <v>0</v>
      </c>
      <c r="G129" s="32">
        <f t="shared" ca="1" si="75"/>
        <v>0</v>
      </c>
      <c r="H129" s="32">
        <f t="shared" ca="1" si="75"/>
        <v>0</v>
      </c>
      <c r="I129" s="32">
        <f t="shared" ca="1" si="75"/>
        <v>0</v>
      </c>
      <c r="J129" s="32">
        <f t="shared" ca="1" si="75"/>
        <v>0</v>
      </c>
      <c r="K129" s="32">
        <f t="shared" ca="1" si="75"/>
        <v>0</v>
      </c>
      <c r="L129" s="32">
        <f t="shared" ca="1" si="75"/>
        <v>0</v>
      </c>
      <c r="M129" s="32">
        <f t="shared" ca="1" si="75"/>
        <v>0</v>
      </c>
      <c r="N129" s="32">
        <f t="shared" ca="1" si="75"/>
        <v>0</v>
      </c>
      <c r="O129" s="32">
        <f t="shared" ca="1" si="75"/>
        <v>0</v>
      </c>
      <c r="P129" s="32">
        <f t="shared" ca="1" si="75"/>
        <v>0</v>
      </c>
      <c r="Q129" s="32">
        <f t="shared" ca="1" si="75"/>
        <v>0</v>
      </c>
      <c r="R129" s="32">
        <f t="shared" ca="1" si="75"/>
        <v>0</v>
      </c>
      <c r="S129" s="32">
        <f t="shared" ca="1" si="75"/>
        <v>0</v>
      </c>
      <c r="T129" s="32">
        <f t="shared" ca="1" si="75"/>
        <v>0</v>
      </c>
      <c r="U129" s="32">
        <f t="shared" ca="1" si="75"/>
        <v>0</v>
      </c>
      <c r="V129" s="32">
        <f t="shared" ca="1" si="75"/>
        <v>0</v>
      </c>
      <c r="W129" s="32">
        <f t="shared" ca="1" si="75"/>
        <v>0</v>
      </c>
      <c r="X129" s="32">
        <f t="shared" ca="1" si="75"/>
        <v>0</v>
      </c>
      <c r="Y129" s="32">
        <f t="shared" ref="Y129" ca="1" si="76">Y92-Y91</f>
        <v>0</v>
      </c>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row>
    <row r="130" spans="1:80">
      <c r="C130" s="7" t="s">
        <v>578</v>
      </c>
      <c r="E130" s="32">
        <f t="shared" ref="E130:X130" ca="1" si="77">E93-E92</f>
        <v>0</v>
      </c>
      <c r="F130" s="32">
        <f t="shared" ca="1" si="77"/>
        <v>0</v>
      </c>
      <c r="G130" s="32">
        <f t="shared" ca="1" si="77"/>
        <v>0</v>
      </c>
      <c r="H130" s="32">
        <f t="shared" ca="1" si="77"/>
        <v>0</v>
      </c>
      <c r="I130" s="32">
        <f t="shared" ca="1" si="77"/>
        <v>0</v>
      </c>
      <c r="J130" s="32">
        <f t="shared" ca="1" si="77"/>
        <v>0</v>
      </c>
      <c r="K130" s="32">
        <f t="shared" ca="1" si="77"/>
        <v>0</v>
      </c>
      <c r="L130" s="32">
        <f t="shared" ca="1" si="77"/>
        <v>0</v>
      </c>
      <c r="M130" s="32">
        <f t="shared" ca="1" si="77"/>
        <v>0</v>
      </c>
      <c r="N130" s="32">
        <f t="shared" ca="1" si="77"/>
        <v>0</v>
      </c>
      <c r="O130" s="32">
        <f t="shared" ca="1" si="77"/>
        <v>0</v>
      </c>
      <c r="P130" s="32">
        <f t="shared" ca="1" si="77"/>
        <v>0</v>
      </c>
      <c r="Q130" s="32">
        <f t="shared" ca="1" si="77"/>
        <v>0</v>
      </c>
      <c r="R130" s="32">
        <f t="shared" ca="1" si="77"/>
        <v>0</v>
      </c>
      <c r="S130" s="32">
        <f t="shared" ca="1" si="77"/>
        <v>0</v>
      </c>
      <c r="T130" s="32">
        <f t="shared" ca="1" si="77"/>
        <v>0</v>
      </c>
      <c r="U130" s="32">
        <f t="shared" ca="1" si="77"/>
        <v>0</v>
      </c>
      <c r="V130" s="32">
        <f t="shared" ca="1" si="77"/>
        <v>0</v>
      </c>
      <c r="W130" s="32">
        <f t="shared" ca="1" si="77"/>
        <v>0</v>
      </c>
      <c r="X130" s="32">
        <f t="shared" ca="1" si="77"/>
        <v>0</v>
      </c>
      <c r="Y130" s="32">
        <f t="shared" ref="Y130" ca="1" si="78">Y93-Y92</f>
        <v>0</v>
      </c>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row>
    <row r="131" spans="1:80">
      <c r="C131" s="7" t="s">
        <v>581</v>
      </c>
      <c r="E131" s="32">
        <f t="shared" ref="E131:X131" ca="1" si="79">E94-E93</f>
        <v>0</v>
      </c>
      <c r="F131" s="32">
        <f t="shared" ca="1" si="79"/>
        <v>0</v>
      </c>
      <c r="G131" s="32">
        <f t="shared" ca="1" si="79"/>
        <v>0</v>
      </c>
      <c r="H131" s="32">
        <f t="shared" ca="1" si="79"/>
        <v>0</v>
      </c>
      <c r="I131" s="32">
        <f t="shared" ca="1" si="79"/>
        <v>0</v>
      </c>
      <c r="J131" s="32">
        <f t="shared" ca="1" si="79"/>
        <v>0</v>
      </c>
      <c r="K131" s="32">
        <f t="shared" ca="1" si="79"/>
        <v>0</v>
      </c>
      <c r="L131" s="32">
        <f t="shared" ca="1" si="79"/>
        <v>0</v>
      </c>
      <c r="M131" s="32">
        <f t="shared" ca="1" si="79"/>
        <v>0</v>
      </c>
      <c r="N131" s="32">
        <f t="shared" ca="1" si="79"/>
        <v>0</v>
      </c>
      <c r="O131" s="32">
        <f t="shared" ca="1" si="79"/>
        <v>0</v>
      </c>
      <c r="P131" s="32">
        <f t="shared" ca="1" si="79"/>
        <v>0</v>
      </c>
      <c r="Q131" s="32">
        <f t="shared" ca="1" si="79"/>
        <v>0</v>
      </c>
      <c r="R131" s="32">
        <f t="shared" ca="1" si="79"/>
        <v>0</v>
      </c>
      <c r="S131" s="32">
        <f t="shared" ca="1" si="79"/>
        <v>0</v>
      </c>
      <c r="T131" s="32">
        <f t="shared" ca="1" si="79"/>
        <v>0</v>
      </c>
      <c r="U131" s="32">
        <f t="shared" ca="1" si="79"/>
        <v>0</v>
      </c>
      <c r="V131" s="32">
        <f t="shared" ca="1" si="79"/>
        <v>0</v>
      </c>
      <c r="W131" s="32">
        <f t="shared" ca="1" si="79"/>
        <v>0</v>
      </c>
      <c r="X131" s="32">
        <f t="shared" ca="1" si="79"/>
        <v>0</v>
      </c>
      <c r="Y131" s="32">
        <f t="shared" ref="Y131" ca="1" si="80">Y94-Y93</f>
        <v>0</v>
      </c>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row>
    <row r="132" spans="1:80">
      <c r="C132" s="7" t="s">
        <v>584</v>
      </c>
      <c r="E132" s="32">
        <f t="shared" ref="E132:X132" ca="1" si="81">E95-E94</f>
        <v>0</v>
      </c>
      <c r="F132" s="32">
        <f t="shared" ca="1" si="81"/>
        <v>0</v>
      </c>
      <c r="G132" s="32">
        <f t="shared" ca="1" si="81"/>
        <v>0</v>
      </c>
      <c r="H132" s="32">
        <f t="shared" ca="1" si="81"/>
        <v>0</v>
      </c>
      <c r="I132" s="32">
        <f t="shared" ca="1" si="81"/>
        <v>0</v>
      </c>
      <c r="J132" s="32">
        <f t="shared" ca="1" si="81"/>
        <v>0</v>
      </c>
      <c r="K132" s="32">
        <f t="shared" ca="1" si="81"/>
        <v>0</v>
      </c>
      <c r="L132" s="32">
        <f t="shared" ca="1" si="81"/>
        <v>0</v>
      </c>
      <c r="M132" s="32">
        <f t="shared" ca="1" si="81"/>
        <v>0</v>
      </c>
      <c r="N132" s="32">
        <f t="shared" ca="1" si="81"/>
        <v>0</v>
      </c>
      <c r="O132" s="32">
        <f t="shared" ca="1" si="81"/>
        <v>0</v>
      </c>
      <c r="P132" s="32">
        <f t="shared" ca="1" si="81"/>
        <v>0</v>
      </c>
      <c r="Q132" s="32">
        <f t="shared" ca="1" si="81"/>
        <v>0</v>
      </c>
      <c r="R132" s="32">
        <f t="shared" ca="1" si="81"/>
        <v>0</v>
      </c>
      <c r="S132" s="32">
        <f t="shared" ca="1" si="81"/>
        <v>0</v>
      </c>
      <c r="T132" s="32">
        <f t="shared" ca="1" si="81"/>
        <v>0</v>
      </c>
      <c r="U132" s="32">
        <f t="shared" ca="1" si="81"/>
        <v>0</v>
      </c>
      <c r="V132" s="32">
        <f t="shared" ca="1" si="81"/>
        <v>0</v>
      </c>
      <c r="W132" s="32">
        <f t="shared" ca="1" si="81"/>
        <v>0</v>
      </c>
      <c r="X132" s="32">
        <f t="shared" ca="1" si="81"/>
        <v>0</v>
      </c>
      <c r="Y132" s="32">
        <f t="shared" ref="Y132" ca="1" si="82">Y95-Y94</f>
        <v>0</v>
      </c>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row>
    <row r="133" spans="1:80">
      <c r="C133" s="7" t="s">
        <v>587</v>
      </c>
      <c r="E133" s="32">
        <f t="shared" ref="E133:X133" ca="1" si="83">E96-E95</f>
        <v>0</v>
      </c>
      <c r="F133" s="32">
        <f t="shared" ca="1" si="83"/>
        <v>0</v>
      </c>
      <c r="G133" s="32">
        <f t="shared" ca="1" si="83"/>
        <v>0</v>
      </c>
      <c r="H133" s="32">
        <f t="shared" ca="1" si="83"/>
        <v>0</v>
      </c>
      <c r="I133" s="32">
        <f t="shared" ca="1" si="83"/>
        <v>0</v>
      </c>
      <c r="J133" s="32">
        <f t="shared" ca="1" si="83"/>
        <v>0</v>
      </c>
      <c r="K133" s="32">
        <f t="shared" ca="1" si="83"/>
        <v>0</v>
      </c>
      <c r="L133" s="32">
        <f t="shared" ca="1" si="83"/>
        <v>0</v>
      </c>
      <c r="M133" s="32">
        <f t="shared" ca="1" si="83"/>
        <v>0</v>
      </c>
      <c r="N133" s="32">
        <f t="shared" ca="1" si="83"/>
        <v>0</v>
      </c>
      <c r="O133" s="32">
        <f t="shared" ca="1" si="83"/>
        <v>0</v>
      </c>
      <c r="P133" s="32">
        <f t="shared" ca="1" si="83"/>
        <v>0</v>
      </c>
      <c r="Q133" s="32">
        <f t="shared" ca="1" si="83"/>
        <v>0</v>
      </c>
      <c r="R133" s="32">
        <f t="shared" ca="1" si="83"/>
        <v>0</v>
      </c>
      <c r="S133" s="32">
        <f t="shared" ca="1" si="83"/>
        <v>0</v>
      </c>
      <c r="T133" s="32">
        <f t="shared" ca="1" si="83"/>
        <v>0</v>
      </c>
      <c r="U133" s="32">
        <f t="shared" ca="1" si="83"/>
        <v>0</v>
      </c>
      <c r="V133" s="32">
        <f t="shared" ca="1" si="83"/>
        <v>0</v>
      </c>
      <c r="W133" s="32">
        <f t="shared" ca="1" si="83"/>
        <v>0</v>
      </c>
      <c r="X133" s="32">
        <f t="shared" ca="1" si="83"/>
        <v>0</v>
      </c>
      <c r="Y133" s="32">
        <f t="shared" ref="Y133" ca="1" si="84">Y96-Y95</f>
        <v>0</v>
      </c>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row>
    <row r="134" spans="1:80">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row>
    <row r="135" spans="1:80" ht="15">
      <c r="C135" s="63" t="s">
        <v>144</v>
      </c>
      <c r="D135" s="64"/>
      <c r="E135" s="64">
        <f t="shared" ref="E135:X135" ca="1" si="85">SUM(E102:E133)</f>
        <v>0.18630302494274564</v>
      </c>
      <c r="F135" s="64">
        <f t="shared" ca="1" si="85"/>
        <v>0.3606580757671165</v>
      </c>
      <c r="G135" s="64">
        <f t="shared" ca="1" si="85"/>
        <v>0.52136539994967279</v>
      </c>
      <c r="H135" s="64">
        <f t="shared" ca="1" si="85"/>
        <v>0.67278078173883715</v>
      </c>
      <c r="I135" s="64">
        <f t="shared" ca="1" si="85"/>
        <v>0.80927315014251344</v>
      </c>
      <c r="J135" s="64">
        <f t="shared" ca="1" si="85"/>
        <v>0.91465300914865333</v>
      </c>
      <c r="K135" s="64">
        <f t="shared" ca="1" si="85"/>
        <v>1.0046028397001916</v>
      </c>
      <c r="L135" s="64">
        <f t="shared" ca="1" si="85"/>
        <v>1.0959303051274436</v>
      </c>
      <c r="M135" s="64">
        <f t="shared" ca="1" si="85"/>
        <v>1.1670070193793669</v>
      </c>
      <c r="N135" s="64">
        <f t="shared" ca="1" si="85"/>
        <v>1.2482037874531191</v>
      </c>
      <c r="O135" s="64">
        <f t="shared" ca="1" si="85"/>
        <v>1.3005731292795533</v>
      </c>
      <c r="P135" s="64">
        <f t="shared" ca="1" si="85"/>
        <v>1.3262735404649029</v>
      </c>
      <c r="Q135" s="64">
        <f t="shared" ca="1" si="85"/>
        <v>1.3324554826709929</v>
      </c>
      <c r="R135" s="64">
        <f t="shared" ca="1" si="85"/>
        <v>1.3520419144963465</v>
      </c>
      <c r="S135" s="64">
        <f t="shared" ca="1" si="85"/>
        <v>1.3754914259715647</v>
      </c>
      <c r="T135" s="64">
        <f t="shared" ca="1" si="85"/>
        <v>1.3769162368026131</v>
      </c>
      <c r="U135" s="64">
        <f t="shared" ca="1" si="85"/>
        <v>1.3398579489066416</v>
      </c>
      <c r="V135" s="64">
        <f t="shared" ca="1" si="85"/>
        <v>1.3319589036941279</v>
      </c>
      <c r="W135" s="64">
        <f t="shared" ca="1" si="85"/>
        <v>1.3269865606852709</v>
      </c>
      <c r="X135" s="64">
        <f t="shared" ca="1" si="85"/>
        <v>1.3311765195618597</v>
      </c>
      <c r="Y135" s="64"/>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row>
    <row r="136" spans="1:80" ht="15">
      <c r="C136" s="63" t="s">
        <v>145</v>
      </c>
      <c r="D136" s="64"/>
      <c r="E136" s="64">
        <f ca="1">E135</f>
        <v>0.18630302494274564</v>
      </c>
      <c r="F136" s="64">
        <f t="shared" ref="F136:X136" ca="1" si="86">E136+F135</f>
        <v>0.54696110070986215</v>
      </c>
      <c r="G136" s="64">
        <f t="shared" ca="1" si="86"/>
        <v>1.068326500659535</v>
      </c>
      <c r="H136" s="64">
        <f t="shared" ca="1" si="86"/>
        <v>1.7411072823983722</v>
      </c>
      <c r="I136" s="64">
        <f t="shared" ca="1" si="86"/>
        <v>2.5503804325408854</v>
      </c>
      <c r="J136" s="64">
        <f t="shared" ca="1" si="86"/>
        <v>3.4650334416895388</v>
      </c>
      <c r="K136" s="64">
        <f t="shared" ca="1" si="86"/>
        <v>4.4696362813897306</v>
      </c>
      <c r="L136" s="64">
        <f t="shared" ca="1" si="86"/>
        <v>5.565566586517174</v>
      </c>
      <c r="M136" s="64">
        <f t="shared" ca="1" si="86"/>
        <v>6.7325736058965404</v>
      </c>
      <c r="N136" s="64">
        <f t="shared" ca="1" si="86"/>
        <v>7.9807773933496593</v>
      </c>
      <c r="O136" s="64">
        <f t="shared" ca="1" si="86"/>
        <v>9.2813505226292126</v>
      </c>
      <c r="P136" s="64">
        <f t="shared" ca="1" si="86"/>
        <v>10.607624063094116</v>
      </c>
      <c r="Q136" s="64">
        <f t="shared" ca="1" si="86"/>
        <v>11.940079545765109</v>
      </c>
      <c r="R136" s="64">
        <f t="shared" ca="1" si="86"/>
        <v>13.292121460261455</v>
      </c>
      <c r="S136" s="64">
        <f t="shared" ca="1" si="86"/>
        <v>14.66761288623302</v>
      </c>
      <c r="T136" s="64">
        <f t="shared" ca="1" si="86"/>
        <v>16.044529123035634</v>
      </c>
      <c r="U136" s="64">
        <f t="shared" ca="1" si="86"/>
        <v>17.384387071942275</v>
      </c>
      <c r="V136" s="64">
        <f t="shared" ca="1" si="86"/>
        <v>18.716345975636404</v>
      </c>
      <c r="W136" s="64">
        <f t="shared" ca="1" si="86"/>
        <v>20.043332536321675</v>
      </c>
      <c r="X136" s="64">
        <f t="shared" ca="1" si="86"/>
        <v>21.374509055883536</v>
      </c>
      <c r="Y136" s="64">
        <f ca="1">SUM(Y102:Y133)</f>
        <v>21.374509055883532</v>
      </c>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row>
    <row r="139" spans="1:80">
      <c r="A139" s="7" t="s">
        <v>149</v>
      </c>
    </row>
    <row r="141" spans="1:80">
      <c r="E141" s="32"/>
      <c r="F141" s="32"/>
      <c r="G141" s="32"/>
      <c r="H141" s="32"/>
      <c r="I141" s="32"/>
      <c r="J141" s="32"/>
      <c r="K141" s="32"/>
      <c r="L141" s="32"/>
      <c r="M141" s="32"/>
      <c r="N141" s="32"/>
      <c r="O141" s="32"/>
      <c r="P141" s="32"/>
      <c r="Q141" s="32"/>
      <c r="R141" s="32"/>
      <c r="S141" s="32"/>
      <c r="T141" s="32"/>
      <c r="U141" s="32"/>
      <c r="V141" s="32"/>
      <c r="W141" s="32"/>
      <c r="X141" s="32"/>
      <c r="Y141" s="32"/>
    </row>
    <row r="142" spans="1:80">
      <c r="E142" s="32"/>
      <c r="F142" s="32"/>
      <c r="G142" s="32"/>
      <c r="H142" s="32"/>
      <c r="I142" s="32"/>
      <c r="J142" s="32"/>
      <c r="K142" s="32"/>
      <c r="L142" s="32"/>
      <c r="M142" s="32"/>
      <c r="N142" s="32"/>
      <c r="O142" s="32"/>
      <c r="P142" s="32"/>
      <c r="Q142" s="32"/>
      <c r="R142" s="32"/>
      <c r="S142" s="32"/>
      <c r="T142" s="32"/>
      <c r="U142" s="32"/>
      <c r="V142" s="32"/>
      <c r="W142" s="32"/>
      <c r="X142" s="32"/>
      <c r="Y142" s="32"/>
    </row>
    <row r="143" spans="1:80" ht="15">
      <c r="A143" s="53" t="s">
        <v>150</v>
      </c>
      <c r="E143" s="32"/>
      <c r="F143" s="32"/>
      <c r="G143" s="32"/>
      <c r="H143" s="32"/>
      <c r="I143" s="32"/>
      <c r="J143" s="32"/>
      <c r="K143" s="32"/>
      <c r="L143" s="32"/>
      <c r="M143" s="32"/>
      <c r="N143" s="32"/>
      <c r="O143" s="32"/>
      <c r="P143" s="32"/>
      <c r="Q143" s="32"/>
      <c r="R143" s="32"/>
      <c r="S143" s="32"/>
      <c r="T143" s="32"/>
      <c r="U143" s="32"/>
      <c r="V143" s="32"/>
      <c r="W143" s="32"/>
      <c r="X143" s="32"/>
      <c r="Y143" s="32"/>
    </row>
    <row r="144" spans="1:80">
      <c r="A144" s="7" t="s">
        <v>151</v>
      </c>
      <c r="C144"/>
      <c r="D144"/>
      <c r="E144" s="7" t="s">
        <v>152</v>
      </c>
    </row>
    <row r="145" spans="3:27" ht="15">
      <c r="C145" s="43"/>
      <c r="D145" s="43"/>
      <c r="E145" s="62">
        <f>E11</f>
        <v>2016</v>
      </c>
      <c r="F145" s="62">
        <f t="shared" ref="F145:X145" si="87">F11</f>
        <v>2017</v>
      </c>
      <c r="G145" s="62">
        <f t="shared" si="87"/>
        <v>2018</v>
      </c>
      <c r="H145" s="62">
        <f t="shared" si="87"/>
        <v>2019</v>
      </c>
      <c r="I145" s="62">
        <f t="shared" si="87"/>
        <v>2020</v>
      </c>
      <c r="J145" s="62">
        <f t="shared" si="87"/>
        <v>2021</v>
      </c>
      <c r="K145" s="62">
        <f t="shared" si="87"/>
        <v>2022</v>
      </c>
      <c r="L145" s="62">
        <f t="shared" si="87"/>
        <v>2023</v>
      </c>
      <c r="M145" s="62">
        <f t="shared" si="87"/>
        <v>2024</v>
      </c>
      <c r="N145" s="62">
        <f t="shared" si="87"/>
        <v>2025</v>
      </c>
      <c r="O145" s="62">
        <f t="shared" si="87"/>
        <v>2026</v>
      </c>
      <c r="P145" s="62">
        <f t="shared" si="87"/>
        <v>2027</v>
      </c>
      <c r="Q145" s="62">
        <f t="shared" si="87"/>
        <v>2028</v>
      </c>
      <c r="R145" s="62">
        <f t="shared" si="87"/>
        <v>2029</v>
      </c>
      <c r="S145" s="62">
        <f t="shared" si="87"/>
        <v>2030</v>
      </c>
      <c r="T145" s="62">
        <f t="shared" si="87"/>
        <v>2031</v>
      </c>
      <c r="U145" s="62">
        <f t="shared" si="87"/>
        <v>2032</v>
      </c>
      <c r="V145" s="62">
        <f t="shared" si="87"/>
        <v>2033</v>
      </c>
      <c r="W145" s="62">
        <f t="shared" si="87"/>
        <v>2034</v>
      </c>
      <c r="X145" s="62">
        <f t="shared" si="87"/>
        <v>2035</v>
      </c>
      <c r="Y145" s="62"/>
    </row>
    <row r="146" spans="3:27">
      <c r="C146" s="7" t="str">
        <f>C13</f>
        <v>Single Family</v>
      </c>
      <c r="E146" s="32">
        <f ca="1">(E13-E33/$B23)</f>
        <v>59678.616748759094</v>
      </c>
      <c r="F146" s="32">
        <f t="shared" ref="F146:X149" ca="1" si="88">(F13-F33/$B23)</f>
        <v>54208.844193260396</v>
      </c>
      <c r="G146" s="32">
        <f t="shared" ca="1" si="88"/>
        <v>48654.739952289798</v>
      </c>
      <c r="H146" s="32">
        <f t="shared" ca="1" si="88"/>
        <v>44434.260877574183</v>
      </c>
      <c r="I146" s="32">
        <f t="shared" ca="1" si="88"/>
        <v>40673.252289246346</v>
      </c>
      <c r="J146" s="32">
        <f t="shared" ca="1" si="88"/>
        <v>36552.44674675916</v>
      </c>
      <c r="K146" s="32">
        <f t="shared" ca="1" si="88"/>
        <v>33822.239148564549</v>
      </c>
      <c r="L146" s="32">
        <f t="shared" ca="1" si="88"/>
        <v>32297.480650881713</v>
      </c>
      <c r="M146" s="32">
        <f t="shared" ca="1" si="88"/>
        <v>30885.264589088816</v>
      </c>
      <c r="N146" s="32">
        <f t="shared" ca="1" si="88"/>
        <v>30555.499182498679</v>
      </c>
      <c r="O146" s="32">
        <f t="shared" ca="1" si="88"/>
        <v>30061.037726794882</v>
      </c>
      <c r="P146" s="32">
        <f t="shared" ca="1" si="88"/>
        <v>29116.093885719569</v>
      </c>
      <c r="Q146" s="32">
        <f t="shared" ca="1" si="88"/>
        <v>27909.401426459877</v>
      </c>
      <c r="R146" s="32">
        <f t="shared" ca="1" si="88"/>
        <v>27589.63249958248</v>
      </c>
      <c r="S146" s="32">
        <f t="shared" ca="1" si="88"/>
        <v>27629.367180750389</v>
      </c>
      <c r="T146" s="32">
        <f t="shared" ca="1" si="88"/>
        <v>27286.747093259786</v>
      </c>
      <c r="U146" s="32">
        <f t="shared" ca="1" si="88"/>
        <v>26382.591128318596</v>
      </c>
      <c r="V146" s="32">
        <f t="shared" ca="1" si="88"/>
        <v>26336.914691815069</v>
      </c>
      <c r="W146" s="32">
        <f t="shared" ca="1" si="88"/>
        <v>26403.618633459402</v>
      </c>
      <c r="X146" s="32">
        <f t="shared" ca="1" si="88"/>
        <v>26582.81025413769</v>
      </c>
      <c r="Y146" s="32"/>
      <c r="AA146" s="32">
        <f t="shared" ref="AA146:AA149" ca="1" si="89">SUM(E146:Y146)</f>
        <v>687060.85889922047</v>
      </c>
    </row>
    <row r="147" spans="3:27">
      <c r="C147" s="7" t="str">
        <f>C14</f>
        <v>Multifamily - Low Rise</v>
      </c>
      <c r="E147" s="32">
        <f ca="1">(E14-E34/$B24)</f>
        <v>22025.031786486848</v>
      </c>
      <c r="F147" s="32">
        <f t="shared" ref="E147:T149" ca="1" si="90">(F14-F34/$B24)</f>
        <v>20535.142620915554</v>
      </c>
      <c r="G147" s="32">
        <f t="shared" ca="1" si="90"/>
        <v>19121.488091688392</v>
      </c>
      <c r="H147" s="32">
        <f t="shared" ca="1" si="90"/>
        <v>17322.277942342756</v>
      </c>
      <c r="I147" s="32">
        <f t="shared" ca="1" si="90"/>
        <v>15205.186126397988</v>
      </c>
      <c r="J147" s="32">
        <f t="shared" ca="1" si="90"/>
        <v>13685.163141607673</v>
      </c>
      <c r="K147" s="32">
        <f t="shared" ca="1" si="90"/>
        <v>12788.641402538859</v>
      </c>
      <c r="L147" s="32">
        <f t="shared" ca="1" si="90"/>
        <v>12397.228184563883</v>
      </c>
      <c r="M147" s="32">
        <f t="shared" ca="1" si="90"/>
        <v>12183.215820068228</v>
      </c>
      <c r="N147" s="32">
        <f t="shared" ca="1" si="90"/>
        <v>12090.659093047281</v>
      </c>
      <c r="O147" s="32">
        <f t="shared" ca="1" si="90"/>
        <v>11800.759273737365</v>
      </c>
      <c r="P147" s="32">
        <f t="shared" ca="1" si="90"/>
        <v>11531.624353861513</v>
      </c>
      <c r="Q147" s="32">
        <f t="shared" ca="1" si="90"/>
        <v>11331.819615976367</v>
      </c>
      <c r="R147" s="32">
        <f t="shared" ca="1" si="90"/>
        <v>11035.74096730254</v>
      </c>
      <c r="S147" s="32">
        <f t="shared" ca="1" si="90"/>
        <v>10766.218235240929</v>
      </c>
      <c r="T147" s="32">
        <f t="shared" ca="1" si="90"/>
        <v>10438.979268195089</v>
      </c>
      <c r="U147" s="32">
        <f t="shared" ca="1" si="88"/>
        <v>10260.289866532476</v>
      </c>
      <c r="V147" s="32">
        <f t="shared" ca="1" si="88"/>
        <v>10129.958784796203</v>
      </c>
      <c r="W147" s="32">
        <f t="shared" ca="1" si="88"/>
        <v>9934.8343090651615</v>
      </c>
      <c r="X147" s="32">
        <f t="shared" ca="1" si="88"/>
        <v>9897.2225984085453</v>
      </c>
      <c r="Y147" s="32"/>
      <c r="AA147" s="32">
        <f t="shared" ca="1" si="89"/>
        <v>264481.48148277367</v>
      </c>
    </row>
    <row r="148" spans="3:27">
      <c r="C148" s="7" t="str">
        <f>C15</f>
        <v>Multifamily - High Rise</v>
      </c>
      <c r="E148" s="32">
        <f t="shared" ca="1" si="90"/>
        <v>4944.4311933502213</v>
      </c>
      <c r="F148" s="32">
        <f t="shared" ca="1" si="88"/>
        <v>4674.8590266009051</v>
      </c>
      <c r="G148" s="32">
        <f t="shared" ca="1" si="88"/>
        <v>4418.5555611665131</v>
      </c>
      <c r="H148" s="32">
        <f t="shared" ca="1" si="88"/>
        <v>3910.4947792875514</v>
      </c>
      <c r="I148" s="32">
        <f t="shared" ca="1" si="88"/>
        <v>3366.0764140302535</v>
      </c>
      <c r="J148" s="32">
        <f t="shared" ca="1" si="88"/>
        <v>3074.9510356415103</v>
      </c>
      <c r="K148" s="32">
        <f t="shared" ca="1" si="88"/>
        <v>2881.9444997726414</v>
      </c>
      <c r="L148" s="32">
        <f t="shared" ca="1" si="88"/>
        <v>2828.4665755035121</v>
      </c>
      <c r="M148" s="32">
        <f t="shared" ca="1" si="88"/>
        <v>2760.0972205794724</v>
      </c>
      <c r="N148" s="32">
        <f t="shared" ca="1" si="88"/>
        <v>2738.8419912701702</v>
      </c>
      <c r="O148" s="32">
        <f t="shared" ca="1" si="88"/>
        <v>2640.9930835766795</v>
      </c>
      <c r="P148" s="32">
        <f t="shared" ca="1" si="88"/>
        <v>2575.7682732358667</v>
      </c>
      <c r="Q148" s="32">
        <f t="shared" ca="1" si="88"/>
        <v>2509.3041710499674</v>
      </c>
      <c r="R148" s="32">
        <f t="shared" ca="1" si="88"/>
        <v>2462.8861968824926</v>
      </c>
      <c r="S148" s="32">
        <f t="shared" ca="1" si="88"/>
        <v>2414.1819961239066</v>
      </c>
      <c r="T148" s="32">
        <f t="shared" ca="1" si="88"/>
        <v>2339.1451856663234</v>
      </c>
      <c r="U148" s="32">
        <f t="shared" ca="1" si="88"/>
        <v>2301.8633524402062</v>
      </c>
      <c r="V148" s="32">
        <f t="shared" ca="1" si="88"/>
        <v>2248.7905036071534</v>
      </c>
      <c r="W148" s="32">
        <f t="shared" ca="1" si="88"/>
        <v>2240.1884788593156</v>
      </c>
      <c r="X148" s="32">
        <f t="shared" ca="1" si="88"/>
        <v>2229.9766775781941</v>
      </c>
      <c r="Y148" s="32"/>
      <c r="AA148" s="32">
        <f t="shared" ca="1" si="89"/>
        <v>59561.816216222869</v>
      </c>
    </row>
    <row r="149" spans="3:27">
      <c r="C149" s="7" t="str">
        <f>C16</f>
        <v>Manufactured</v>
      </c>
      <c r="E149" s="32">
        <f t="shared" ca="1" si="90"/>
        <v>1810.4795140182143</v>
      </c>
      <c r="F149" s="32">
        <f t="shared" ca="1" si="88"/>
        <v>1762.8319365801017</v>
      </c>
      <c r="G149" s="32">
        <f t="shared" ca="1" si="88"/>
        <v>1764.3019837123463</v>
      </c>
      <c r="H149" s="32">
        <f t="shared" ca="1" si="88"/>
        <v>1765.6422930132253</v>
      </c>
      <c r="I149" s="32">
        <f t="shared" ca="1" si="88"/>
        <v>1649.8134917884217</v>
      </c>
      <c r="J149" s="32">
        <f t="shared" ca="1" si="88"/>
        <v>1568.9073034322043</v>
      </c>
      <c r="K149" s="32">
        <f t="shared" ca="1" si="88"/>
        <v>1530.0665152014319</v>
      </c>
      <c r="L149" s="32">
        <f t="shared" ca="1" si="88"/>
        <v>1503.2559842688279</v>
      </c>
      <c r="M149" s="32">
        <f t="shared" ca="1" si="88"/>
        <v>1483.0068256601128</v>
      </c>
      <c r="N149" s="32">
        <f t="shared" ca="1" si="88"/>
        <v>1461.1295615340659</v>
      </c>
      <c r="O149" s="32">
        <f t="shared" ca="1" si="88"/>
        <v>1435.0889357814176</v>
      </c>
      <c r="P149" s="32">
        <f t="shared" ca="1" si="88"/>
        <v>1419.071702265388</v>
      </c>
      <c r="Q149" s="32">
        <f t="shared" ca="1" si="88"/>
        <v>1409.465946819379</v>
      </c>
      <c r="R149" s="32">
        <f t="shared" ca="1" si="88"/>
        <v>1401.7205353793443</v>
      </c>
      <c r="S149" s="32">
        <f t="shared" ca="1" si="88"/>
        <v>1394.776630530097</v>
      </c>
      <c r="T149" s="32">
        <f t="shared" ca="1" si="88"/>
        <v>1388.1339716278485</v>
      </c>
      <c r="U149" s="32">
        <f t="shared" ca="1" si="88"/>
        <v>1387.1491708601798</v>
      </c>
      <c r="V149" s="32">
        <f t="shared" ca="1" si="88"/>
        <v>1387.2873213239022</v>
      </c>
      <c r="W149" s="32">
        <f t="shared" ca="1" si="88"/>
        <v>1387.7037465823146</v>
      </c>
      <c r="X149" s="32">
        <f t="shared" ca="1" si="88"/>
        <v>1387.8659202060398</v>
      </c>
      <c r="Y149" s="32"/>
      <c r="AA149" s="32">
        <f t="shared" ca="1" si="89"/>
        <v>30297.699290584867</v>
      </c>
    </row>
    <row r="150" spans="3:27">
      <c r="E150" s="32"/>
      <c r="F150" s="32"/>
      <c r="G150" s="32"/>
      <c r="H150" s="32"/>
      <c r="I150" s="32"/>
      <c r="J150" s="32"/>
      <c r="K150" s="32"/>
      <c r="L150" s="32"/>
      <c r="M150" s="32"/>
      <c r="N150" s="32"/>
      <c r="O150" s="32"/>
      <c r="P150" s="32"/>
      <c r="Q150" s="32"/>
      <c r="R150" s="32"/>
      <c r="S150" s="32"/>
      <c r="T150" s="32"/>
      <c r="U150" s="32"/>
      <c r="V150" s="32"/>
      <c r="W150" s="32"/>
      <c r="X150" s="32"/>
      <c r="Y150" s="32"/>
    </row>
    <row r="151" spans="3:27">
      <c r="C151" s="7" t="s">
        <v>153</v>
      </c>
      <c r="E151" s="32">
        <f t="shared" ref="E151:X151" ca="1" si="91">SUM(E146:E149)</f>
        <v>88458.55924261437</v>
      </c>
      <c r="F151" s="32">
        <f t="shared" ca="1" si="91"/>
        <v>81181.677777356963</v>
      </c>
      <c r="G151" s="32">
        <f t="shared" ca="1" si="91"/>
        <v>73959.085588857051</v>
      </c>
      <c r="H151" s="32">
        <f t="shared" ca="1" si="91"/>
        <v>67432.67589221771</v>
      </c>
      <c r="I151" s="32">
        <f t="shared" ca="1" si="91"/>
        <v>60894.328321463014</v>
      </c>
      <c r="J151" s="32">
        <f t="shared" ca="1" si="91"/>
        <v>54881.46822744055</v>
      </c>
      <c r="K151" s="32">
        <f t="shared" ca="1" si="91"/>
        <v>51022.89156607748</v>
      </c>
      <c r="L151" s="32">
        <f t="shared" ca="1" si="91"/>
        <v>49026.431395217929</v>
      </c>
      <c r="M151" s="32">
        <f t="shared" ca="1" si="91"/>
        <v>47311.584455396631</v>
      </c>
      <c r="N151" s="32">
        <f t="shared" ca="1" si="91"/>
        <v>46846.129828350196</v>
      </c>
      <c r="O151" s="32">
        <f t="shared" ca="1" si="91"/>
        <v>45937.879019890344</v>
      </c>
      <c r="P151" s="32">
        <f t="shared" ca="1" si="91"/>
        <v>44642.558215082332</v>
      </c>
      <c r="Q151" s="32">
        <f t="shared" ca="1" si="91"/>
        <v>43159.991160305588</v>
      </c>
      <c r="R151" s="32">
        <f t="shared" ca="1" si="91"/>
        <v>42489.980199146863</v>
      </c>
      <c r="S151" s="32">
        <f t="shared" ca="1" si="91"/>
        <v>42204.544042645321</v>
      </c>
      <c r="T151" s="32">
        <f t="shared" ca="1" si="91"/>
        <v>41453.005518749043</v>
      </c>
      <c r="U151" s="32">
        <f t="shared" ca="1" si="91"/>
        <v>40331.893518151461</v>
      </c>
      <c r="V151" s="32">
        <f t="shared" ca="1" si="91"/>
        <v>40102.951301542329</v>
      </c>
      <c r="W151" s="32">
        <f t="shared" ca="1" si="91"/>
        <v>39966.345167966196</v>
      </c>
      <c r="X151" s="32">
        <f t="shared" ca="1" si="91"/>
        <v>40097.875450330474</v>
      </c>
      <c r="Y151" s="32"/>
      <c r="AA151" s="32">
        <f ca="1">SUM(E151:Y151)</f>
        <v>1041401.8558888019</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2"/>
  <dimension ref="A1:CB165"/>
  <sheetViews>
    <sheetView tabSelected="1" topLeftCell="C1" workbookViewId="0">
      <selection activeCell="D13" sqref="D13"/>
    </sheetView>
  </sheetViews>
  <sheetFormatPr defaultRowHeight="12.75"/>
  <cols>
    <col min="1" max="1" width="35" style="7" customWidth="1"/>
    <col min="2" max="2" width="30.140625" style="7" customWidth="1"/>
    <col min="3" max="3" width="19.85546875" style="7" customWidth="1"/>
    <col min="4" max="4" width="48.42578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40" t="s">
        <v>60</v>
      </c>
      <c r="B1" s="331" t="s">
        <v>61</v>
      </c>
      <c r="C1" s="331"/>
      <c r="D1" s="331"/>
      <c r="E1" s="331"/>
      <c r="F1" s="331"/>
      <c r="G1" s="331"/>
      <c r="H1" s="331"/>
      <c r="I1" s="331"/>
      <c r="J1" s="331"/>
      <c r="K1" s="331"/>
      <c r="L1" s="331"/>
      <c r="M1" s="331"/>
      <c r="N1" s="331"/>
      <c r="O1" s="331"/>
      <c r="P1" s="331"/>
      <c r="Q1" s="331"/>
      <c r="R1" s="331"/>
      <c r="S1" s="331"/>
    </row>
    <row r="2" spans="1:68">
      <c r="A2" s="41" t="s">
        <v>158</v>
      </c>
      <c r="B2" s="331"/>
      <c r="C2" s="331"/>
      <c r="D2" s="331"/>
      <c r="E2" s="331"/>
      <c r="F2" s="331"/>
      <c r="G2" s="331"/>
      <c r="H2" s="331"/>
      <c r="I2" s="331"/>
      <c r="J2" s="331"/>
      <c r="K2" s="331"/>
      <c r="L2" s="331"/>
      <c r="M2" s="331"/>
      <c r="N2" s="331"/>
      <c r="O2" s="331"/>
      <c r="P2" s="331"/>
      <c r="Q2" s="331"/>
      <c r="R2" s="331"/>
      <c r="S2" s="331"/>
    </row>
    <row r="3" spans="1:68">
      <c r="B3" s="331"/>
      <c r="C3" s="331"/>
      <c r="D3" s="331"/>
      <c r="E3" s="331"/>
      <c r="F3" s="331"/>
      <c r="G3" s="331"/>
      <c r="H3" s="331"/>
      <c r="I3" s="331"/>
      <c r="J3" s="331"/>
      <c r="K3" s="331"/>
      <c r="L3" s="331"/>
      <c r="M3" s="331"/>
      <c r="N3" s="331"/>
      <c r="O3" s="331"/>
      <c r="P3" s="331"/>
      <c r="Q3" s="331"/>
      <c r="R3" s="331"/>
      <c r="S3" s="331"/>
    </row>
    <row r="4" spans="1:68">
      <c r="B4" s="331"/>
      <c r="C4" s="331"/>
      <c r="D4" s="331"/>
      <c r="E4" s="331"/>
      <c r="F4" s="331"/>
      <c r="G4" s="331"/>
      <c r="H4" s="331"/>
      <c r="I4" s="331"/>
      <c r="J4" s="331"/>
      <c r="K4" s="331"/>
      <c r="L4" s="331"/>
      <c r="M4" s="331"/>
      <c r="N4" s="331"/>
      <c r="O4" s="331"/>
      <c r="P4" s="331"/>
      <c r="Q4" s="331"/>
      <c r="R4" s="331"/>
      <c r="S4" s="331"/>
    </row>
    <row r="5" spans="1:68">
      <c r="B5" s="331"/>
      <c r="C5" s="331"/>
      <c r="D5" s="331"/>
      <c r="E5" s="331"/>
      <c r="F5" s="331"/>
      <c r="G5" s="331"/>
      <c r="H5" s="331"/>
      <c r="I5" s="331"/>
      <c r="J5" s="331"/>
      <c r="K5" s="331"/>
      <c r="L5" s="331"/>
      <c r="M5" s="331"/>
      <c r="N5" s="331"/>
      <c r="O5" s="331"/>
      <c r="P5" s="331"/>
      <c r="Q5" s="331"/>
      <c r="R5" s="331"/>
      <c r="S5" s="331"/>
    </row>
    <row r="6" spans="1:68">
      <c r="B6" s="331"/>
      <c r="C6" s="331"/>
      <c r="D6" s="331"/>
      <c r="E6" s="331"/>
      <c r="F6" s="331"/>
      <c r="G6" s="331"/>
      <c r="H6" s="331"/>
      <c r="I6" s="331"/>
      <c r="J6" s="331"/>
      <c r="K6" s="331"/>
      <c r="L6" s="331"/>
      <c r="M6" s="331"/>
      <c r="N6" s="331"/>
      <c r="O6" s="331"/>
      <c r="P6" s="331"/>
      <c r="Q6" s="331"/>
      <c r="R6" s="331"/>
      <c r="S6" s="331"/>
    </row>
    <row r="7" spans="1:68">
      <c r="A7" s="312"/>
      <c r="B7" s="312" t="s">
        <v>47</v>
      </c>
      <c r="C7" s="51" t="s">
        <v>62</v>
      </c>
      <c r="D7" s="51" t="s">
        <v>362</v>
      </c>
    </row>
    <row r="8" spans="1:68">
      <c r="A8" s="312" t="s">
        <v>604</v>
      </c>
      <c r="B8" s="312" t="s">
        <v>63</v>
      </c>
      <c r="C8" s="51" t="str">
        <f>[2]MLIST!$B$18</f>
        <v>Showerheads</v>
      </c>
      <c r="D8" s="51" t="str">
        <f>[1]!switch_ForecastState</f>
        <v>Region</v>
      </c>
    </row>
    <row r="9" spans="1:68">
      <c r="A9" s="312" t="str">
        <f>INDEX([2]ACHIEV!$A$19:$B$100,MATCH(CONCATENATE($C$8," - ",$C$7),[2]ACHIEV!$B$19:$B$100,0),1)</f>
        <v>Water Heating</v>
      </c>
      <c r="B9" s="313" t="s">
        <v>64</v>
      </c>
      <c r="C9" s="51">
        <f>[2]FILES!$H$4</f>
        <v>2035</v>
      </c>
      <c r="D9" s="51" t="str">
        <f>[1]!switch_ForecastScenario</f>
        <v>Base</v>
      </c>
    </row>
    <row r="10" spans="1:68">
      <c r="A10" s="312"/>
      <c r="B10" s="312" t="s">
        <v>647</v>
      </c>
      <c r="C10" s="330">
        <f ca="1">MIN(SUM(E76:X76),Y76)</f>
        <v>100.52976554712743</v>
      </c>
      <c r="D10" s="52"/>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53" t="str">
        <f>CONCATENATE("# OF EXISTING HOMES FOR MEASURE -",$C$8)</f>
        <v># OF EXISTING HOMES FOR MEASURE -Showerheads</v>
      </c>
      <c r="C11" s="7" t="s">
        <v>155</v>
      </c>
      <c r="E11" s="56">
        <v>2016</v>
      </c>
      <c r="F11" s="57">
        <v>2017</v>
      </c>
      <c r="G11" s="57">
        <v>2018</v>
      </c>
      <c r="H11" s="57">
        <v>2019</v>
      </c>
      <c r="I11" s="57">
        <v>2020</v>
      </c>
      <c r="J11" s="57">
        <v>2021</v>
      </c>
      <c r="K11" s="57">
        <v>2022</v>
      </c>
      <c r="L11" s="57">
        <v>2023</v>
      </c>
      <c r="M11" s="57">
        <v>2024</v>
      </c>
      <c r="N11" s="57">
        <v>2025</v>
      </c>
      <c r="O11" s="57">
        <v>2026</v>
      </c>
      <c r="P11" s="57">
        <v>2027</v>
      </c>
      <c r="Q11" s="57">
        <v>2028</v>
      </c>
      <c r="R11" s="57">
        <v>2029</v>
      </c>
      <c r="S11" s="57">
        <v>2030</v>
      </c>
      <c r="T11" s="57">
        <v>2031</v>
      </c>
      <c r="U11" s="57">
        <v>2032</v>
      </c>
      <c r="V11" s="57">
        <v>2033</v>
      </c>
      <c r="W11" s="57">
        <v>2034</v>
      </c>
      <c r="X11" s="57">
        <v>2035</v>
      </c>
      <c r="Y11" s="58"/>
      <c r="AA11" s="42"/>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9" t="str">
        <f>CONCATENATE("HOMES_",E11)</f>
        <v>HOMES_2016</v>
      </c>
      <c r="F12" s="60" t="str">
        <f t="shared" ref="F12:X12" si="0">CONCATENATE("HOMES_",F11)</f>
        <v>HOMES_2017</v>
      </c>
      <c r="G12" s="60" t="str">
        <f t="shared" si="0"/>
        <v>HOMES_2018</v>
      </c>
      <c r="H12" s="60" t="str">
        <f t="shared" si="0"/>
        <v>HOMES_2019</v>
      </c>
      <c r="I12" s="60" t="str">
        <f t="shared" si="0"/>
        <v>HOMES_2020</v>
      </c>
      <c r="J12" s="60" t="str">
        <f t="shared" si="0"/>
        <v>HOMES_2021</v>
      </c>
      <c r="K12" s="60" t="str">
        <f t="shared" si="0"/>
        <v>HOMES_2022</v>
      </c>
      <c r="L12" s="60" t="str">
        <f t="shared" si="0"/>
        <v>HOMES_2023</v>
      </c>
      <c r="M12" s="60" t="str">
        <f t="shared" si="0"/>
        <v>HOMES_2024</v>
      </c>
      <c r="N12" s="60" t="str">
        <f t="shared" si="0"/>
        <v>HOMES_2025</v>
      </c>
      <c r="O12" s="60" t="str">
        <f t="shared" si="0"/>
        <v>HOMES_2026</v>
      </c>
      <c r="P12" s="60" t="str">
        <f t="shared" si="0"/>
        <v>HOMES_2027</v>
      </c>
      <c r="Q12" s="60" t="str">
        <f t="shared" si="0"/>
        <v>HOMES_2028</v>
      </c>
      <c r="R12" s="60" t="str">
        <f t="shared" si="0"/>
        <v>HOMES_2029</v>
      </c>
      <c r="S12" s="60" t="str">
        <f t="shared" si="0"/>
        <v>HOMES_2030</v>
      </c>
      <c r="T12" s="60" t="str">
        <f t="shared" si="0"/>
        <v>HOMES_2031</v>
      </c>
      <c r="U12" s="60" t="str">
        <f t="shared" si="0"/>
        <v>HOMES_2032</v>
      </c>
      <c r="V12" s="60" t="str">
        <f t="shared" si="0"/>
        <v>HOMES_2033</v>
      </c>
      <c r="W12" s="60" t="str">
        <f t="shared" si="0"/>
        <v>HOMES_2034</v>
      </c>
      <c r="X12" s="60" t="str">
        <f t="shared" si="0"/>
        <v>HOMES_2035</v>
      </c>
      <c r="Y12" s="61"/>
      <c r="AA12" s="40"/>
    </row>
    <row r="13" spans="1:68">
      <c r="C13" s="7" t="s">
        <v>48</v>
      </c>
      <c r="E13" s="32">
        <f ca="1">INDEX([1]!tbl_Forecast,MATCH($D$8&amp;$C13&amp;$D$7,[1]!rng_ForecastRowLookup,0),MATCH(E$11,[1]!rng_ForecastColumnLookup,0))</f>
        <v>4203528.2719999999</v>
      </c>
      <c r="F13" s="32">
        <f ca="1">INDEX([1]!tbl_Forecast,MATCH($D$8&amp;$C13&amp;$D$7,[1]!rng_ForecastRowLookup,0),MATCH(F$11,[1]!rng_ForecastColumnLookup,0))</f>
        <v>4193982.9785983553</v>
      </c>
      <c r="G13" s="32">
        <f ca="1">INDEX([1]!tbl_Forecast,MATCH($D$8&amp;$C13&amp;$D$7,[1]!rng_ForecastRowLookup,0),MATCH(G$11,[1]!rng_ForecastColumnLookup,0))</f>
        <v>4184459.3604704877</v>
      </c>
      <c r="H13" s="32">
        <f ca="1">INDEX([1]!tbl_Forecast,MATCH($D$8&amp;$C13&amp;$D$7,[1]!rng_ForecastRowLookup,0),MATCH(H$11,[1]!rng_ForecastColumnLookup,0))</f>
        <v>4174957.36839659</v>
      </c>
      <c r="I13" s="32">
        <f ca="1">INDEX([1]!tbl_Forecast,MATCH($D$8&amp;$C13&amp;$D$7,[1]!rng_ForecastRowLookup,0),MATCH(I$11,[1]!rng_ForecastColumnLookup,0))</f>
        <v>4165476.9532686244</v>
      </c>
      <c r="J13" s="32">
        <f ca="1">INDEX([1]!tbl_Forecast,MATCH($D$8&amp;$C13&amp;$D$7,[1]!rng_ForecastRowLookup,0),MATCH(J$11,[1]!rng_ForecastColumnLookup,0))</f>
        <v>4156018.0660900641</v>
      </c>
      <c r="K13" s="32">
        <f ca="1">INDEX([1]!tbl_Forecast,MATCH($D$8&amp;$C13&amp;$D$7,[1]!rng_ForecastRowLookup,0),MATCH(K$11,[1]!rng_ForecastColumnLookup,0))</f>
        <v>4146580.6579756448</v>
      </c>
      <c r="L13" s="32">
        <f ca="1">INDEX([1]!tbl_Forecast,MATCH($D$8&amp;$C13&amp;$D$7,[1]!rng_ForecastRowLookup,0),MATCH(L$11,[1]!rng_ForecastColumnLookup,0))</f>
        <v>4137164.6801511091</v>
      </c>
      <c r="M13" s="32">
        <f ca="1">INDEX([1]!tbl_Forecast,MATCH($D$8&amp;$C13&amp;$D$7,[1]!rng_ForecastRowLookup,0),MATCH(M$11,[1]!rng_ForecastColumnLookup,0))</f>
        <v>4127770.0839529554</v>
      </c>
      <c r="N13" s="32">
        <f ca="1">INDEX([1]!tbl_Forecast,MATCH($D$8&amp;$C13&amp;$D$7,[1]!rng_ForecastRowLookup,0),MATCH(N$11,[1]!rng_ForecastColumnLookup,0))</f>
        <v>4118396.8208281873</v>
      </c>
      <c r="O13" s="32">
        <f ca="1">INDEX([1]!tbl_Forecast,MATCH($D$8&amp;$C13&amp;$D$7,[1]!rng_ForecastRowLookup,0),MATCH(O$11,[1]!rng_ForecastColumnLookup,0))</f>
        <v>4109044.8423340586</v>
      </c>
      <c r="P13" s="32">
        <f ca="1">INDEX([1]!tbl_Forecast,MATCH($D$8&amp;$C13&amp;$D$7,[1]!rng_ForecastRowLookup,0),MATCH(P$11,[1]!rng_ForecastColumnLookup,0))</f>
        <v>4099714.1001378288</v>
      </c>
      <c r="Q13" s="32">
        <f ca="1">INDEX([1]!tbl_Forecast,MATCH($D$8&amp;$C13&amp;$D$7,[1]!rng_ForecastRowLookup,0),MATCH(Q$11,[1]!rng_ForecastColumnLookup,0))</f>
        <v>4090404.5460165106</v>
      </c>
      <c r="R13" s="32">
        <f ca="1">INDEX([1]!tbl_Forecast,MATCH($D$8&amp;$C13&amp;$D$7,[1]!rng_ForecastRowLookup,0),MATCH(R$11,[1]!rng_ForecastColumnLookup,0))</f>
        <v>4081116.1318566194</v>
      </c>
      <c r="S13" s="32">
        <f ca="1">INDEX([1]!tbl_Forecast,MATCH($D$8&amp;$C13&amp;$D$7,[1]!rng_ForecastRowLookup,0),MATCH(S$11,[1]!rng_ForecastColumnLookup,0))</f>
        <v>4071848.8096539262</v>
      </c>
      <c r="T13" s="32">
        <f ca="1">INDEX([1]!tbl_Forecast,MATCH($D$8&amp;$C13&amp;$D$7,[1]!rng_ForecastRowLookup,0),MATCH(T$11,[1]!rng_ForecastColumnLookup,0))</f>
        <v>4062602.5315132081</v>
      </c>
      <c r="U13" s="32">
        <f ca="1">INDEX([1]!tbl_Forecast,MATCH($D$8&amp;$C13&amp;$D$7,[1]!rng_ForecastRowLookup,0),MATCH(U$11,[1]!rng_ForecastColumnLookup,0))</f>
        <v>4053377.2496480034</v>
      </c>
      <c r="V13" s="32">
        <f ca="1">INDEX([1]!tbl_Forecast,MATCH($D$8&amp;$C13&amp;$D$7,[1]!rng_ForecastRowLookup,0),MATCH(V$11,[1]!rng_ForecastColumnLookup,0))</f>
        <v>4044172.9163803621</v>
      </c>
      <c r="W13" s="32">
        <f ca="1">INDEX([1]!tbl_Forecast,MATCH($D$8&amp;$C13&amp;$D$7,[1]!rng_ForecastRowLookup,0),MATCH(W$11,[1]!rng_ForecastColumnLookup,0))</f>
        <v>4034989.4841406001</v>
      </c>
      <c r="X13" s="32">
        <f ca="1">INDEX([1]!tbl_Forecast,MATCH($D$8&amp;$C13&amp;$D$7,[1]!rng_ForecastRowLookup,0),MATCH(X$11,[1]!rng_ForecastColumnLookup,0))</f>
        <v>4025826.9054670548</v>
      </c>
      <c r="Y13" s="32"/>
      <c r="Z13" s="7">
        <f ca="1">X13/E13</f>
        <v>0.9577256640054912</v>
      </c>
      <c r="AA13" s="44"/>
    </row>
    <row r="14" spans="1:68">
      <c r="C14" s="7" t="s">
        <v>49</v>
      </c>
      <c r="E14" s="32">
        <f ca="1">INDEX([1]!tbl_Forecast,MATCH($D$8&amp;$C14&amp;$D$7,[1]!rng_ForecastRowLookup,0),MATCH(E$11,[1]!rng_ForecastColumnLookup,0))</f>
        <v>926243.25609262148</v>
      </c>
      <c r="F14" s="32">
        <f ca="1">INDEX([1]!tbl_Forecast,MATCH($D$8&amp;$C14&amp;$D$7,[1]!rng_ForecastRowLookup,0),MATCH(F$11,[1]!rng_ForecastColumnLookup,0))</f>
        <v>924139.92640956037</v>
      </c>
      <c r="G14" s="32">
        <f ca="1">INDEX([1]!tbl_Forecast,MATCH($D$8&amp;$C14&amp;$D$7,[1]!rng_ForecastRowLookup,0),MATCH(G$11,[1]!rng_ForecastColumnLookup,0))</f>
        <v>922041.3730050053</v>
      </c>
      <c r="H14" s="32">
        <f ca="1">INDEX([1]!tbl_Forecast,MATCH($D$8&amp;$C14&amp;$D$7,[1]!rng_ForecastRowLookup,0),MATCH(H$11,[1]!rng_ForecastColumnLookup,0))</f>
        <v>919947.58503289847</v>
      </c>
      <c r="I14" s="32">
        <f ca="1">INDEX([1]!tbl_Forecast,MATCH($D$8&amp;$C14&amp;$D$7,[1]!rng_ForecastRowLookup,0),MATCH(I$11,[1]!rng_ForecastColumnLookup,0))</f>
        <v>917858.55167181045</v>
      </c>
      <c r="J14" s="32">
        <f ca="1">INDEX([1]!tbl_Forecast,MATCH($D$8&amp;$C14&amp;$D$7,[1]!rng_ForecastRowLookup,0),MATCH(J$11,[1]!rng_ForecastColumnLookup,0))</f>
        <v>915774.26212488639</v>
      </c>
      <c r="K14" s="32">
        <f ca="1">INDEX([1]!tbl_Forecast,MATCH($D$8&amp;$C14&amp;$D$7,[1]!rng_ForecastRowLookup,0),MATCH(K$11,[1]!rng_ForecastColumnLookup,0))</f>
        <v>913694.70561978838</v>
      </c>
      <c r="L14" s="32">
        <f ca="1">INDEX([1]!tbl_Forecast,MATCH($D$8&amp;$C14&amp;$D$7,[1]!rng_ForecastRowLookup,0),MATCH(L$11,[1]!rng_ForecastColumnLookup,0))</f>
        <v>911619.87140864041</v>
      </c>
      <c r="M14" s="32">
        <f ca="1">INDEX([1]!tbl_Forecast,MATCH($D$8&amp;$C14&amp;$D$7,[1]!rng_ForecastRowLookup,0),MATCH(M$11,[1]!rng_ForecastColumnLookup,0))</f>
        <v>909549.74876797362</v>
      </c>
      <c r="N14" s="32">
        <f ca="1">INDEX([1]!tbl_Forecast,MATCH($D$8&amp;$C14&amp;$D$7,[1]!rng_ForecastRowLookup,0),MATCH(N$11,[1]!rng_ForecastColumnLookup,0))</f>
        <v>907484.32699866977</v>
      </c>
      <c r="O14" s="32">
        <f ca="1">INDEX([1]!tbl_Forecast,MATCH($D$8&amp;$C14&amp;$D$7,[1]!rng_ForecastRowLookup,0),MATCH(O$11,[1]!rng_ForecastColumnLookup,0))</f>
        <v>905423.59542590659</v>
      </c>
      <c r="P14" s="32">
        <f ca="1">INDEX([1]!tbl_Forecast,MATCH($D$8&amp;$C14&amp;$D$7,[1]!rng_ForecastRowLookup,0),MATCH(P$11,[1]!rng_ForecastColumnLookup,0))</f>
        <v>903367.54339910217</v>
      </c>
      <c r="Q14" s="32">
        <f ca="1">INDEX([1]!tbl_Forecast,MATCH($D$8&amp;$C14&amp;$D$7,[1]!rng_ForecastRowLookup,0),MATCH(Q$11,[1]!rng_ForecastColumnLookup,0))</f>
        <v>901316.16029185988</v>
      </c>
      <c r="R14" s="32">
        <f ca="1">INDEX([1]!tbl_Forecast,MATCH($D$8&amp;$C14&amp;$D$7,[1]!rng_ForecastRowLookup,0),MATCH(R$11,[1]!rng_ForecastColumnLookup,0))</f>
        <v>899269.43550191447</v>
      </c>
      <c r="S14" s="32">
        <f ca="1">INDEX([1]!tbl_Forecast,MATCH($D$8&amp;$C14&amp;$D$7,[1]!rng_ForecastRowLookup,0),MATCH(S$11,[1]!rng_ForecastColumnLookup,0))</f>
        <v>897227.35845107585</v>
      </c>
      <c r="T14" s="32">
        <f ca="1">INDEX([1]!tbl_Forecast,MATCH($D$8&amp;$C14&amp;$D$7,[1]!rng_ForecastRowLookup,0),MATCH(T$11,[1]!rng_ForecastColumnLookup,0))</f>
        <v>895189.9185851753</v>
      </c>
      <c r="U14" s="32">
        <f ca="1">INDEX([1]!tbl_Forecast,MATCH($D$8&amp;$C14&amp;$D$7,[1]!rng_ForecastRowLookup,0),MATCH(U$11,[1]!rng_ForecastColumnLookup,0))</f>
        <v>893157.10537401051</v>
      </c>
      <c r="V14" s="32">
        <f ca="1">INDEX([1]!tbl_Forecast,MATCH($D$8&amp;$C14&amp;$D$7,[1]!rng_ForecastRowLookup,0),MATCH(V$11,[1]!rng_ForecastColumnLookup,0))</f>
        <v>891128.90831129183</v>
      </c>
      <c r="W14" s="32">
        <f ca="1">INDEX([1]!tbl_Forecast,MATCH($D$8&amp;$C14&amp;$D$7,[1]!rng_ForecastRowLookup,0),MATCH(W$11,[1]!rng_ForecastColumnLookup,0))</f>
        <v>889105.31691458682</v>
      </c>
      <c r="X14" s="32">
        <f ca="1">INDEX([1]!tbl_Forecast,MATCH($D$8&amp;$C14&amp;$D$7,[1]!rng_ForecastRowLookup,0),MATCH(X$11,[1]!rng_ForecastColumnLookup,0))</f>
        <v>887086.32072526717</v>
      </c>
      <c r="Y14" s="32"/>
      <c r="Z14" s="7">
        <f ca="1">X14/E14</f>
        <v>0.95772499814731316</v>
      </c>
      <c r="AA14" s="44"/>
    </row>
    <row r="15" spans="1:68">
      <c r="C15" s="7" t="s">
        <v>50</v>
      </c>
      <c r="E15" s="32">
        <f ca="1">INDEX([1]!tbl_Forecast,MATCH($D$8&amp;$C15&amp;$D$7,[1]!rng_ForecastRowLookup,0),MATCH(E$11,[1]!rng_ForecastColumnLookup,0))</f>
        <v>211180.07985625503</v>
      </c>
      <c r="F15" s="32">
        <f ca="1">INDEX([1]!tbl_Forecast,MATCH($D$8&amp;$C15&amp;$D$7,[1]!rng_ForecastRowLookup,0),MATCH(F$11,[1]!rng_ForecastColumnLookup,0))</f>
        <v>210700.52836963299</v>
      </c>
      <c r="G15" s="32">
        <f ca="1">INDEX([1]!tbl_Forecast,MATCH($D$8&amp;$C15&amp;$D$7,[1]!rng_ForecastRowLookup,0),MATCH(G$11,[1]!rng_ForecastColumnLookup,0))</f>
        <v>210222.06585706791</v>
      </c>
      <c r="H15" s="32">
        <f ca="1">INDEX([1]!tbl_Forecast,MATCH($D$8&amp;$C15&amp;$D$7,[1]!rng_ForecastRowLookup,0),MATCH(H$11,[1]!rng_ForecastColumnLookup,0))</f>
        <v>209744.68984569819</v>
      </c>
      <c r="I15" s="32">
        <f ca="1">INDEX([1]!tbl_Forecast,MATCH($D$8&amp;$C15&amp;$D$7,[1]!rng_ForecastRowLookup,0),MATCH(I$11,[1]!rng_ForecastColumnLookup,0))</f>
        <v>209268.39786827751</v>
      </c>
      <c r="J15" s="32">
        <f ca="1">INDEX([1]!tbl_Forecast,MATCH($D$8&amp;$C15&amp;$D$7,[1]!rng_ForecastRowLookup,0),MATCH(J$11,[1]!rng_ForecastColumnLookup,0))</f>
        <v>208793.18746316229</v>
      </c>
      <c r="K15" s="32">
        <f ca="1">INDEX([1]!tbl_Forecast,MATCH($D$8&amp;$C15&amp;$D$7,[1]!rng_ForecastRowLookup,0),MATCH(K$11,[1]!rng_ForecastColumnLookup,0))</f>
        <v>208319.05617429892</v>
      </c>
      <c r="L15" s="32">
        <f ca="1">INDEX([1]!tbl_Forecast,MATCH($D$8&amp;$C15&amp;$D$7,[1]!rng_ForecastRowLookup,0),MATCH(L$11,[1]!rng_ForecastColumnLookup,0))</f>
        <v>207846.00155121088</v>
      </c>
      <c r="M15" s="32">
        <f ca="1">INDEX([1]!tbl_Forecast,MATCH($D$8&amp;$C15&amp;$D$7,[1]!rng_ForecastRowLookup,0),MATCH(M$11,[1]!rng_ForecastColumnLookup,0))</f>
        <v>207374.0211489865</v>
      </c>
      <c r="N15" s="32">
        <f ca="1">INDEX([1]!tbl_Forecast,MATCH($D$8&amp;$C15&amp;$D$7,[1]!rng_ForecastRowLookup,0),MATCH(N$11,[1]!rng_ForecastColumnLookup,0))</f>
        <v>206903.11252826577</v>
      </c>
      <c r="O15" s="32">
        <f ca="1">INDEX([1]!tbl_Forecast,MATCH($D$8&amp;$C15&amp;$D$7,[1]!rng_ForecastRowLookup,0),MATCH(O$11,[1]!rng_ForecastColumnLookup,0))</f>
        <v>206433.27325522827</v>
      </c>
      <c r="P15" s="32">
        <f ca="1">INDEX([1]!tbl_Forecast,MATCH($D$8&amp;$C15&amp;$D$7,[1]!rng_ForecastRowLookup,0),MATCH(P$11,[1]!rng_ForecastColumnLookup,0))</f>
        <v>205964.50090158021</v>
      </c>
      <c r="Q15" s="32">
        <f ca="1">INDEX([1]!tbl_Forecast,MATCH($D$8&amp;$C15&amp;$D$7,[1]!rng_ForecastRowLookup,0),MATCH(Q$11,[1]!rng_ForecastColumnLookup,0))</f>
        <v>205496.79304454199</v>
      </c>
      <c r="R15" s="32">
        <f ca="1">INDEX([1]!tbl_Forecast,MATCH($D$8&amp;$C15&amp;$D$7,[1]!rng_ForecastRowLookup,0),MATCH(R$11,[1]!rng_ForecastColumnLookup,0))</f>
        <v>205030.14726683579</v>
      </c>
      <c r="S15" s="32">
        <f ca="1">INDEX([1]!tbl_Forecast,MATCH($D$8&amp;$C15&amp;$D$7,[1]!rng_ForecastRowLookup,0),MATCH(S$11,[1]!rng_ForecastColumnLookup,0))</f>
        <v>204564.56115667295</v>
      </c>
      <c r="T15" s="32">
        <f ca="1">INDEX([1]!tbl_Forecast,MATCH($D$8&amp;$C15&amp;$D$7,[1]!rng_ForecastRowLookup,0),MATCH(T$11,[1]!rng_ForecastColumnLookup,0))</f>
        <v>204100.03230774152</v>
      </c>
      <c r="U15" s="32">
        <f ca="1">INDEX([1]!tbl_Forecast,MATCH($D$8&amp;$C15&amp;$D$7,[1]!rng_ForecastRowLookup,0),MATCH(U$11,[1]!rng_ForecastColumnLookup,0))</f>
        <v>203636.55831919383</v>
      </c>
      <c r="V15" s="32">
        <f ca="1">INDEX([1]!tbl_Forecast,MATCH($D$8&amp;$C15&amp;$D$7,[1]!rng_ForecastRowLookup,0),MATCH(V$11,[1]!rng_ForecastColumnLookup,0))</f>
        <v>203174.13679563423</v>
      </c>
      <c r="W15" s="32">
        <f ca="1">INDEX([1]!tbl_Forecast,MATCH($D$8&amp;$C15&amp;$D$7,[1]!rng_ForecastRowLookup,0),MATCH(W$11,[1]!rng_ForecastColumnLookup,0))</f>
        <v>202712.76534710638</v>
      </c>
      <c r="X15" s="32">
        <f ca="1">INDEX([1]!tbl_Forecast,MATCH($D$8&amp;$C15&amp;$D$7,[1]!rng_ForecastRowLookup,0),MATCH(X$11,[1]!rng_ForecastColumnLookup,0))</f>
        <v>202252.44158908122</v>
      </c>
      <c r="Y15" s="32"/>
      <c r="Z15" s="7">
        <f t="shared" ref="Z15:Z16" ca="1" si="1">X15/E15</f>
        <v>0.95772499814731282</v>
      </c>
      <c r="AA15" s="44"/>
    </row>
    <row r="16" spans="1:68">
      <c r="C16" s="7" t="s">
        <v>51</v>
      </c>
      <c r="E16" s="32">
        <f ca="1">INDEX([1]!tbl_Forecast,MATCH($D$8&amp;$C16&amp;$D$7,[1]!rng_ForecastRowLookup,0),MATCH(E$11,[1]!rng_ForecastColumnLookup,0))</f>
        <v>572006.3278356482</v>
      </c>
      <c r="F16" s="32">
        <f ca="1">INDEX([1]!tbl_Forecast,MATCH($D$8&amp;$C16&amp;$D$7,[1]!rng_ForecastRowLookup,0),MATCH(F$11,[1]!rng_ForecastColumnLookup,0))</f>
        <v>565893.30394507048</v>
      </c>
      <c r="G16" s="32">
        <f ca="1">INDEX([1]!tbl_Forecast,MATCH($D$8&amp;$C16&amp;$D$7,[1]!rng_ForecastRowLookup,0),MATCH(G$11,[1]!rng_ForecastColumnLookup,0))</f>
        <v>559845.60985814757</v>
      </c>
      <c r="H16" s="32">
        <f ca="1">INDEX([1]!tbl_Forecast,MATCH($D$8&amp;$C16&amp;$D$7,[1]!rng_ForecastRowLookup,0),MATCH(H$11,[1]!rng_ForecastColumnLookup,0))</f>
        <v>553862.54739615123</v>
      </c>
      <c r="I16" s="32">
        <f ca="1">INDEX([1]!tbl_Forecast,MATCH($D$8&amp;$C16&amp;$D$7,[1]!rng_ForecastRowLookup,0),MATCH(I$11,[1]!rng_ForecastColumnLookup,0))</f>
        <v>547943.42584177968</v>
      </c>
      <c r="J16" s="32">
        <f ca="1">INDEX([1]!tbl_Forecast,MATCH($D$8&amp;$C16&amp;$D$7,[1]!rng_ForecastRowLookup,0),MATCH(J$11,[1]!rng_ForecastColumnLookup,0))</f>
        <v>542087.56185941794</v>
      </c>
      <c r="K16" s="32">
        <f ca="1">INDEX([1]!tbl_Forecast,MATCH($D$8&amp;$C16&amp;$D$7,[1]!rng_ForecastRowLookup,0),MATCH(K$11,[1]!rng_ForecastColumnLookup,0))</f>
        <v>536294.27941624937</v>
      </c>
      <c r="L16" s="32">
        <f ca="1">INDEX([1]!tbl_Forecast,MATCH($D$8&amp;$C16&amp;$D$7,[1]!rng_ForecastRowLookup,0),MATCH(L$11,[1]!rng_ForecastColumnLookup,0))</f>
        <v>530562.90970421082</v>
      </c>
      <c r="M16" s="32">
        <f ca="1">INDEX([1]!tbl_Forecast,MATCH($D$8&amp;$C16&amp;$D$7,[1]!rng_ForecastRowLookup,0),MATCH(M$11,[1]!rng_ForecastColumnLookup,0))</f>
        <v>524892.79106278194</v>
      </c>
      <c r="N16" s="32">
        <f ca="1">INDEX([1]!tbl_Forecast,MATCH($D$8&amp;$C16&amp;$D$7,[1]!rng_ForecastRowLookup,0),MATCH(N$11,[1]!rng_ForecastColumnLookup,0))</f>
        <v>519283.26890259917</v>
      </c>
      <c r="O16" s="32">
        <f ca="1">INDEX([1]!tbl_Forecast,MATCH($D$8&amp;$C16&amp;$D$7,[1]!rng_ForecastRowLookup,0),MATCH(O$11,[1]!rng_ForecastColumnLookup,0))</f>
        <v>513733.69562988722</v>
      </c>
      <c r="P16" s="32">
        <f ca="1">INDEX([1]!tbl_Forecast,MATCH($D$8&amp;$C16&amp;$D$7,[1]!rng_ForecastRowLookup,0),MATCH(P$11,[1]!rng_ForecastColumnLookup,0))</f>
        <v>508243.4305716962</v>
      </c>
      <c r="Q16" s="32">
        <f ca="1">INDEX([1]!tbl_Forecast,MATCH($D$8&amp;$C16&amp;$D$7,[1]!rng_ForecastRowLookup,0),MATCH(Q$11,[1]!rng_ForecastColumnLookup,0))</f>
        <v>502811.8399019395</v>
      </c>
      <c r="R16" s="32">
        <f ca="1">INDEX([1]!tbl_Forecast,MATCH($D$8&amp;$C16&amp;$D$7,[1]!rng_ForecastRowLookup,0),MATCH(R$11,[1]!rng_ForecastColumnLookup,0))</f>
        <v>497438.2965682213</v>
      </c>
      <c r="S16" s="32">
        <f ca="1">INDEX([1]!tbl_Forecast,MATCH($D$8&amp;$C16&amp;$D$7,[1]!rng_ForecastRowLookup,0),MATCH(S$11,[1]!rng_ForecastColumnLookup,0))</f>
        <v>492122.18021944637</v>
      </c>
      <c r="T16" s="32">
        <f ca="1">INDEX([1]!tbl_Forecast,MATCH($D$8&amp;$C16&amp;$D$7,[1]!rng_ForecastRowLookup,0),MATCH(T$11,[1]!rng_ForecastColumnLookup,0))</f>
        <v>486862.87713420321</v>
      </c>
      <c r="U16" s="32">
        <f ca="1">INDEX([1]!tbl_Forecast,MATCH($D$8&amp;$C16&amp;$D$7,[1]!rng_ForecastRowLookup,0),MATCH(U$11,[1]!rng_ForecastColumnLookup,0))</f>
        <v>481659.78014991269</v>
      </c>
      <c r="V16" s="32">
        <f ca="1">INDEX([1]!tbl_Forecast,MATCH($D$8&amp;$C16&amp;$D$7,[1]!rng_ForecastRowLookup,0),MATCH(V$11,[1]!rng_ForecastColumnLookup,0))</f>
        <v>476512.28859273402</v>
      </c>
      <c r="W16" s="32">
        <f ca="1">INDEX([1]!tbl_Forecast,MATCH($D$8&amp;$C16&amp;$D$7,[1]!rng_ForecastRowLookup,0),MATCH(W$11,[1]!rng_ForecastColumnLookup,0))</f>
        <v>471419.80820821953</v>
      </c>
      <c r="X16" s="32">
        <f ca="1">INDEX([1]!tbl_Forecast,MATCH($D$8&amp;$C16&amp;$D$7,[1]!rng_ForecastRowLookup,0),MATCH(X$11,[1]!rng_ForecastColumnLookup,0))</f>
        <v>466381.75109271082</v>
      </c>
      <c r="Y16" s="32"/>
      <c r="Z16" s="7">
        <f t="shared" ca="1" si="1"/>
        <v>0.81534369183886723</v>
      </c>
      <c r="AA16" s="44"/>
    </row>
    <row r="17" spans="1:68">
      <c r="E17" s="32"/>
      <c r="F17" s="32"/>
      <c r="G17" s="32"/>
      <c r="H17" s="32"/>
      <c r="I17" s="32"/>
      <c r="J17" s="32"/>
      <c r="K17" s="32"/>
      <c r="L17" s="32"/>
      <c r="M17" s="32"/>
      <c r="N17" s="32"/>
      <c r="O17" s="32"/>
      <c r="P17" s="32"/>
      <c r="Q17" s="32"/>
      <c r="R17" s="32"/>
      <c r="S17" s="32"/>
      <c r="T17" s="32"/>
      <c r="U17" s="32"/>
      <c r="V17" s="32"/>
      <c r="W17" s="32"/>
      <c r="X17" s="32"/>
      <c r="Y17" s="32"/>
    </row>
    <row r="18" spans="1:68">
      <c r="B18" s="7" t="s">
        <v>65</v>
      </c>
      <c r="C18" s="7" t="s">
        <v>66</v>
      </c>
      <c r="E18" s="32">
        <f t="shared" ref="E18:X18" ca="1" si="2">SUM(E13:E16)</f>
        <v>5912957.9357845243</v>
      </c>
      <c r="F18" s="32">
        <f t="shared" ca="1" si="2"/>
        <v>5894716.7373226183</v>
      </c>
      <c r="G18" s="32">
        <f t="shared" ca="1" si="2"/>
        <v>5876568.4091907088</v>
      </c>
      <c r="H18" s="32">
        <f t="shared" ca="1" si="2"/>
        <v>5858512.1906713378</v>
      </c>
      <c r="I18" s="32">
        <f t="shared" ca="1" si="2"/>
        <v>5840547.3286504922</v>
      </c>
      <c r="J18" s="32">
        <f t="shared" ca="1" si="2"/>
        <v>5822673.077537531</v>
      </c>
      <c r="K18" s="32">
        <f t="shared" ca="1" si="2"/>
        <v>5804888.6991859814</v>
      </c>
      <c r="L18" s="32">
        <f t="shared" ca="1" si="2"/>
        <v>5787193.462815172</v>
      </c>
      <c r="M18" s="32">
        <f t="shared" ca="1" si="2"/>
        <v>5769586.6449326966</v>
      </c>
      <c r="N18" s="32">
        <f t="shared" ca="1" si="2"/>
        <v>5752067.5292577213</v>
      </c>
      <c r="O18" s="32">
        <f t="shared" ca="1" si="2"/>
        <v>5734635.406645081</v>
      </c>
      <c r="P18" s="32">
        <f t="shared" ca="1" si="2"/>
        <v>5717289.5750102066</v>
      </c>
      <c r="Q18" s="32">
        <f t="shared" ca="1" si="2"/>
        <v>5700029.3392548524</v>
      </c>
      <c r="R18" s="32">
        <f t="shared" ca="1" si="2"/>
        <v>5682854.0111935912</v>
      </c>
      <c r="S18" s="32">
        <f t="shared" ca="1" si="2"/>
        <v>5665762.9094811222</v>
      </c>
      <c r="T18" s="32">
        <f t="shared" ca="1" si="2"/>
        <v>5648755.3595403275</v>
      </c>
      <c r="U18" s="32">
        <f t="shared" ca="1" si="2"/>
        <v>5631830.6934911208</v>
      </c>
      <c r="V18" s="32">
        <f t="shared" ca="1" si="2"/>
        <v>5614988.250080023</v>
      </c>
      <c r="W18" s="32">
        <f t="shared" ca="1" si="2"/>
        <v>5598227.3746105134</v>
      </c>
      <c r="X18" s="32">
        <f t="shared" ca="1" si="2"/>
        <v>5581547.4188741138</v>
      </c>
      <c r="Y18" s="32"/>
      <c r="AA18" s="44"/>
    </row>
    <row r="19" spans="1:68">
      <c r="D19" s="32"/>
      <c r="E19" s="32"/>
      <c r="F19" s="32"/>
      <c r="G19" s="32"/>
      <c r="H19" s="32"/>
      <c r="I19" s="32"/>
      <c r="J19" s="32"/>
      <c r="K19" s="32"/>
      <c r="L19" s="32"/>
      <c r="M19" s="32"/>
      <c r="N19" s="32"/>
      <c r="O19" s="32"/>
      <c r="P19" s="32"/>
      <c r="Q19" s="32"/>
      <c r="R19" s="32"/>
      <c r="S19" s="32"/>
      <c r="T19" s="32"/>
      <c r="U19" s="32"/>
      <c r="V19" s="32"/>
      <c r="W19" s="32"/>
      <c r="X19" s="32"/>
    </row>
    <row r="20" spans="1:68" ht="15">
      <c r="A20" s="53" t="str">
        <f>CONCATENATE("# OF UNTREATED NEW HOMES FOR MEASURE -",$C$8)</f>
        <v># OF UNTREATED NEW HOMES FOR MEASURE -Showerheads</v>
      </c>
      <c r="C20" s="7" t="s">
        <v>155</v>
      </c>
      <c r="E20" s="56">
        <v>2016</v>
      </c>
      <c r="F20" s="57">
        <v>2017</v>
      </c>
      <c r="G20" s="57">
        <v>2018</v>
      </c>
      <c r="H20" s="57">
        <v>2019</v>
      </c>
      <c r="I20" s="57">
        <v>2020</v>
      </c>
      <c r="J20" s="57">
        <v>2021</v>
      </c>
      <c r="K20" s="57">
        <v>2022</v>
      </c>
      <c r="L20" s="57">
        <v>2023</v>
      </c>
      <c r="M20" s="57">
        <v>2024</v>
      </c>
      <c r="N20" s="57">
        <v>2025</v>
      </c>
      <c r="O20" s="57">
        <v>2026</v>
      </c>
      <c r="P20" s="57">
        <v>2027</v>
      </c>
      <c r="Q20" s="57">
        <v>2028</v>
      </c>
      <c r="R20" s="57">
        <v>2029</v>
      </c>
      <c r="S20" s="57">
        <v>2030</v>
      </c>
      <c r="T20" s="57">
        <v>2031</v>
      </c>
      <c r="U20" s="57">
        <v>2032</v>
      </c>
      <c r="V20" s="57">
        <v>2033</v>
      </c>
      <c r="W20" s="57">
        <v>2034</v>
      </c>
      <c r="X20" s="57">
        <v>2035</v>
      </c>
      <c r="Y20" s="58"/>
      <c r="AA20" s="42"/>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59" t="str">
        <f>CONCATENATE("HOMES_",E20)</f>
        <v>HOMES_2016</v>
      </c>
      <c r="F21" s="60" t="str">
        <f t="shared" ref="F21:X21" si="3">CONCATENATE("HOMES_",F20)</f>
        <v>HOMES_2017</v>
      </c>
      <c r="G21" s="60" t="str">
        <f t="shared" si="3"/>
        <v>HOMES_2018</v>
      </c>
      <c r="H21" s="60" t="str">
        <f t="shared" si="3"/>
        <v>HOMES_2019</v>
      </c>
      <c r="I21" s="60" t="str">
        <f t="shared" si="3"/>
        <v>HOMES_2020</v>
      </c>
      <c r="J21" s="60" t="str">
        <f t="shared" si="3"/>
        <v>HOMES_2021</v>
      </c>
      <c r="K21" s="60" t="str">
        <f t="shared" si="3"/>
        <v>HOMES_2022</v>
      </c>
      <c r="L21" s="60" t="str">
        <f t="shared" si="3"/>
        <v>HOMES_2023</v>
      </c>
      <c r="M21" s="60" t="str">
        <f t="shared" si="3"/>
        <v>HOMES_2024</v>
      </c>
      <c r="N21" s="60" t="str">
        <f t="shared" si="3"/>
        <v>HOMES_2025</v>
      </c>
      <c r="O21" s="60" t="str">
        <f t="shared" si="3"/>
        <v>HOMES_2026</v>
      </c>
      <c r="P21" s="60" t="str">
        <f t="shared" si="3"/>
        <v>HOMES_2027</v>
      </c>
      <c r="Q21" s="60" t="str">
        <f t="shared" si="3"/>
        <v>HOMES_2028</v>
      </c>
      <c r="R21" s="60" t="str">
        <f t="shared" si="3"/>
        <v>HOMES_2029</v>
      </c>
      <c r="S21" s="60" t="str">
        <f t="shared" si="3"/>
        <v>HOMES_2030</v>
      </c>
      <c r="T21" s="60" t="str">
        <f t="shared" si="3"/>
        <v>HOMES_2031</v>
      </c>
      <c r="U21" s="60" t="str">
        <f t="shared" si="3"/>
        <v>HOMES_2032</v>
      </c>
      <c r="V21" s="60" t="str">
        <f t="shared" si="3"/>
        <v>HOMES_2033</v>
      </c>
      <c r="W21" s="60" t="str">
        <f t="shared" si="3"/>
        <v>HOMES_2034</v>
      </c>
      <c r="X21" s="60" t="str">
        <f t="shared" si="3"/>
        <v>HOMES_2035</v>
      </c>
      <c r="Y21" s="61"/>
      <c r="AA21" s="40"/>
    </row>
    <row r="22" spans="1:68">
      <c r="C22" s="7" t="s">
        <v>48</v>
      </c>
      <c r="E22" s="50">
        <f>+'SC-New'!D146</f>
        <v>0</v>
      </c>
      <c r="F22" s="50">
        <f ca="1">+'SC-New'!E146</f>
        <v>59678.616748759094</v>
      </c>
      <c r="G22" s="50">
        <f ca="1">+'SC-New'!F146</f>
        <v>54208.844193260396</v>
      </c>
      <c r="H22" s="50">
        <f ca="1">+'SC-New'!G146</f>
        <v>48654.739952289798</v>
      </c>
      <c r="I22" s="50">
        <f ca="1">+'SC-New'!H146</f>
        <v>44434.260877574183</v>
      </c>
      <c r="J22" s="50">
        <f ca="1">+'SC-New'!I146</f>
        <v>40673.252289246346</v>
      </c>
      <c r="K22" s="50">
        <f ca="1">+'SC-New'!J146</f>
        <v>36552.44674675916</v>
      </c>
      <c r="L22" s="50">
        <f ca="1">+'SC-New'!K146</f>
        <v>33822.239148564549</v>
      </c>
      <c r="M22" s="50">
        <f ca="1">+'SC-New'!L146</f>
        <v>32297.480650881713</v>
      </c>
      <c r="N22" s="50">
        <f ca="1">+'SC-New'!M146</f>
        <v>30885.264589088816</v>
      </c>
      <c r="O22" s="50">
        <f ca="1">+'SC-New'!N146</f>
        <v>30555.499182498679</v>
      </c>
      <c r="P22" s="50">
        <f ca="1">+'SC-New'!O146</f>
        <v>30061.037726794882</v>
      </c>
      <c r="Q22" s="50">
        <f ca="1">+'SC-New'!P146</f>
        <v>29116.093885719569</v>
      </c>
      <c r="R22" s="50">
        <f ca="1">+'SC-New'!Q146</f>
        <v>27909.401426459877</v>
      </c>
      <c r="S22" s="50">
        <f ca="1">+'SC-New'!R146</f>
        <v>27589.63249958248</v>
      </c>
      <c r="T22" s="50">
        <f ca="1">+'SC-New'!S146</f>
        <v>27629.367180750389</v>
      </c>
      <c r="U22" s="50">
        <f ca="1">+'SC-New'!T146</f>
        <v>27286.747093259786</v>
      </c>
      <c r="V22" s="50">
        <f ca="1">+'SC-New'!U146</f>
        <v>26382.591128318596</v>
      </c>
      <c r="W22" s="50">
        <f ca="1">+'SC-New'!V146</f>
        <v>26336.914691815069</v>
      </c>
      <c r="X22" s="50">
        <f ca="1">+'SC-New'!W146</f>
        <v>26403.618633459402</v>
      </c>
      <c r="Y22" s="50"/>
      <c r="AA22" s="44"/>
    </row>
    <row r="23" spans="1:68">
      <c r="C23" s="7" t="s">
        <v>49</v>
      </c>
      <c r="E23" s="50">
        <f>+'SC-New'!D147</f>
        <v>0</v>
      </c>
      <c r="F23" s="50">
        <f ca="1">+'SC-New'!E147</f>
        <v>22025.031786486848</v>
      </c>
      <c r="G23" s="50">
        <f ca="1">+'SC-New'!F147</f>
        <v>20535.142620915554</v>
      </c>
      <c r="H23" s="50">
        <f ca="1">+'SC-New'!G147</f>
        <v>19121.488091688392</v>
      </c>
      <c r="I23" s="50">
        <f ca="1">+'SC-New'!H147</f>
        <v>17322.277942342756</v>
      </c>
      <c r="J23" s="50">
        <f ca="1">+'SC-New'!I147</f>
        <v>15205.186126397988</v>
      </c>
      <c r="K23" s="50">
        <f ca="1">+'SC-New'!J147</f>
        <v>13685.163141607673</v>
      </c>
      <c r="L23" s="50">
        <f ca="1">+'SC-New'!K147</f>
        <v>12788.641402538859</v>
      </c>
      <c r="M23" s="50">
        <f ca="1">+'SC-New'!L147</f>
        <v>12397.228184563883</v>
      </c>
      <c r="N23" s="50">
        <f ca="1">+'SC-New'!M147</f>
        <v>12183.215820068228</v>
      </c>
      <c r="O23" s="50">
        <f ca="1">+'SC-New'!N147</f>
        <v>12090.659093047281</v>
      </c>
      <c r="P23" s="50">
        <f ca="1">+'SC-New'!O147</f>
        <v>11800.759273737365</v>
      </c>
      <c r="Q23" s="50">
        <f ca="1">+'SC-New'!P147</f>
        <v>11531.624353861513</v>
      </c>
      <c r="R23" s="50">
        <f ca="1">+'SC-New'!Q147</f>
        <v>11331.819615976367</v>
      </c>
      <c r="S23" s="50">
        <f ca="1">+'SC-New'!R147</f>
        <v>11035.74096730254</v>
      </c>
      <c r="T23" s="50">
        <f ca="1">+'SC-New'!S147</f>
        <v>10766.218235240929</v>
      </c>
      <c r="U23" s="50">
        <f ca="1">+'SC-New'!T147</f>
        <v>10438.979268195089</v>
      </c>
      <c r="V23" s="50">
        <f ca="1">+'SC-New'!U147</f>
        <v>10260.289866532476</v>
      </c>
      <c r="W23" s="50">
        <f ca="1">+'SC-New'!V147</f>
        <v>10129.958784796203</v>
      </c>
      <c r="X23" s="50">
        <f ca="1">+'SC-New'!W147</f>
        <v>9934.8343090651615</v>
      </c>
      <c r="Y23" s="50"/>
      <c r="AA23" s="44"/>
    </row>
    <row r="24" spans="1:68">
      <c r="C24" s="7" t="s">
        <v>50</v>
      </c>
      <c r="E24" s="50">
        <f>+'SC-New'!D148</f>
        <v>0</v>
      </c>
      <c r="F24" s="50">
        <f ca="1">+'SC-New'!E148</f>
        <v>4944.4311933502213</v>
      </c>
      <c r="G24" s="50">
        <f ca="1">+'SC-New'!F148</f>
        <v>4674.8590266009051</v>
      </c>
      <c r="H24" s="50">
        <f ca="1">+'SC-New'!G148</f>
        <v>4418.5555611665131</v>
      </c>
      <c r="I24" s="50">
        <f ca="1">+'SC-New'!H148</f>
        <v>3910.4947792875514</v>
      </c>
      <c r="J24" s="50">
        <f ca="1">+'SC-New'!I148</f>
        <v>3366.0764140302535</v>
      </c>
      <c r="K24" s="50">
        <f ca="1">+'SC-New'!J148</f>
        <v>3074.9510356415103</v>
      </c>
      <c r="L24" s="50">
        <f ca="1">+'SC-New'!K148</f>
        <v>2881.9444997726414</v>
      </c>
      <c r="M24" s="50">
        <f ca="1">+'SC-New'!L148</f>
        <v>2828.4665755035121</v>
      </c>
      <c r="N24" s="50">
        <f ca="1">+'SC-New'!M148</f>
        <v>2760.0972205794724</v>
      </c>
      <c r="O24" s="50">
        <f ca="1">+'SC-New'!N148</f>
        <v>2738.8419912701702</v>
      </c>
      <c r="P24" s="50">
        <f ca="1">+'SC-New'!O148</f>
        <v>2640.9930835766795</v>
      </c>
      <c r="Q24" s="50">
        <f ca="1">+'SC-New'!P148</f>
        <v>2575.7682732358667</v>
      </c>
      <c r="R24" s="50">
        <f ca="1">+'SC-New'!Q148</f>
        <v>2509.3041710499674</v>
      </c>
      <c r="S24" s="50">
        <f ca="1">+'SC-New'!R148</f>
        <v>2462.8861968824926</v>
      </c>
      <c r="T24" s="50">
        <f ca="1">+'SC-New'!S148</f>
        <v>2414.1819961239066</v>
      </c>
      <c r="U24" s="50">
        <f ca="1">+'SC-New'!T148</f>
        <v>2339.1451856663234</v>
      </c>
      <c r="V24" s="50">
        <f ca="1">+'SC-New'!U148</f>
        <v>2301.8633524402062</v>
      </c>
      <c r="W24" s="50">
        <f ca="1">+'SC-New'!V148</f>
        <v>2248.7905036071534</v>
      </c>
      <c r="X24" s="50">
        <f ca="1">+'SC-New'!W148</f>
        <v>2240.1884788593156</v>
      </c>
      <c r="Y24" s="50"/>
      <c r="AA24" s="44"/>
    </row>
    <row r="25" spans="1:68">
      <c r="C25" s="7" t="s">
        <v>51</v>
      </c>
      <c r="E25" s="50">
        <f>+'SC-New'!D149</f>
        <v>0</v>
      </c>
      <c r="F25" s="50">
        <f ca="1">+'SC-New'!E149</f>
        <v>1810.4795140182143</v>
      </c>
      <c r="G25" s="50">
        <f ca="1">+'SC-New'!F149</f>
        <v>1762.8319365801017</v>
      </c>
      <c r="H25" s="50">
        <f ca="1">+'SC-New'!G149</f>
        <v>1764.3019837123463</v>
      </c>
      <c r="I25" s="50">
        <f ca="1">+'SC-New'!H149</f>
        <v>1765.6422930132253</v>
      </c>
      <c r="J25" s="50">
        <f ca="1">+'SC-New'!I149</f>
        <v>1649.8134917884217</v>
      </c>
      <c r="K25" s="50">
        <f ca="1">+'SC-New'!J149</f>
        <v>1568.9073034322043</v>
      </c>
      <c r="L25" s="50">
        <f ca="1">+'SC-New'!K149</f>
        <v>1530.0665152014319</v>
      </c>
      <c r="M25" s="50">
        <f ca="1">+'SC-New'!L149</f>
        <v>1503.2559842688279</v>
      </c>
      <c r="N25" s="50">
        <f ca="1">+'SC-New'!M149</f>
        <v>1483.0068256601128</v>
      </c>
      <c r="O25" s="50">
        <f ca="1">+'SC-New'!N149</f>
        <v>1461.1295615340659</v>
      </c>
      <c r="P25" s="50">
        <f ca="1">+'SC-New'!O149</f>
        <v>1435.0889357814176</v>
      </c>
      <c r="Q25" s="50">
        <f ca="1">+'SC-New'!P149</f>
        <v>1419.071702265388</v>
      </c>
      <c r="R25" s="50">
        <f ca="1">+'SC-New'!Q149</f>
        <v>1409.465946819379</v>
      </c>
      <c r="S25" s="50">
        <f ca="1">+'SC-New'!R149</f>
        <v>1401.7205353793443</v>
      </c>
      <c r="T25" s="50">
        <f ca="1">+'SC-New'!S149</f>
        <v>1394.776630530097</v>
      </c>
      <c r="U25" s="50">
        <f ca="1">+'SC-New'!T149</f>
        <v>1388.1339716278485</v>
      </c>
      <c r="V25" s="50">
        <f ca="1">+'SC-New'!U149</f>
        <v>1387.1491708601798</v>
      </c>
      <c r="W25" s="50">
        <f ca="1">+'SC-New'!V149</f>
        <v>1387.2873213239022</v>
      </c>
      <c r="X25" s="50">
        <f ca="1">+'SC-New'!W149</f>
        <v>1387.7037465823146</v>
      </c>
      <c r="Y25" s="50"/>
      <c r="AA25" s="44"/>
    </row>
    <row r="26" spans="1:68">
      <c r="E26" s="32"/>
      <c r="F26" s="32"/>
      <c r="G26" s="32"/>
      <c r="H26" s="32"/>
      <c r="I26" s="32"/>
      <c r="J26" s="32"/>
      <c r="K26" s="32"/>
      <c r="L26" s="32"/>
      <c r="M26" s="32"/>
      <c r="N26" s="32"/>
      <c r="O26" s="32"/>
      <c r="P26" s="32"/>
      <c r="Q26" s="32"/>
      <c r="R26" s="32"/>
      <c r="S26" s="32"/>
      <c r="T26" s="32"/>
      <c r="U26" s="32"/>
      <c r="V26" s="32"/>
      <c r="W26" s="32"/>
      <c r="X26" s="32"/>
      <c r="Y26" s="32"/>
    </row>
    <row r="27" spans="1:68">
      <c r="B27" s="7" t="s">
        <v>65</v>
      </c>
      <c r="C27" s="7" t="s">
        <v>66</v>
      </c>
      <c r="E27" s="32">
        <f ca="1">E18+SUM(E22:E25)</f>
        <v>5912957.9357845243</v>
      </c>
      <c r="F27" s="32">
        <f t="shared" ref="F27:X27" ca="1" si="4">F18+SUM(F22:F25)</f>
        <v>5983175.2965652328</v>
      </c>
      <c r="G27" s="32">
        <f t="shared" ca="1" si="4"/>
        <v>5957750.0869680662</v>
      </c>
      <c r="H27" s="32">
        <f t="shared" ca="1" si="4"/>
        <v>5932471.2762601944</v>
      </c>
      <c r="I27" s="32">
        <f t="shared" ca="1" si="4"/>
        <v>5907980.0045427103</v>
      </c>
      <c r="J27" s="32">
        <f t="shared" ca="1" si="4"/>
        <v>5883567.4058589945</v>
      </c>
      <c r="K27" s="32">
        <f t="shared" ca="1" si="4"/>
        <v>5859770.1674134219</v>
      </c>
      <c r="L27" s="32">
        <f t="shared" ca="1" si="4"/>
        <v>5838216.3543812493</v>
      </c>
      <c r="M27" s="32">
        <f t="shared" ca="1" si="4"/>
        <v>5818613.0763279144</v>
      </c>
      <c r="N27" s="32">
        <f t="shared" ca="1" si="4"/>
        <v>5799379.1137131182</v>
      </c>
      <c r="O27" s="32">
        <f t="shared" ca="1" si="4"/>
        <v>5781481.5364734316</v>
      </c>
      <c r="P27" s="32">
        <f t="shared" ca="1" si="4"/>
        <v>5763227.4540300965</v>
      </c>
      <c r="Q27" s="32">
        <f t="shared" ca="1" si="4"/>
        <v>5744671.897469935</v>
      </c>
      <c r="R27" s="32">
        <f t="shared" ca="1" si="4"/>
        <v>5726014.0023538964</v>
      </c>
      <c r="S27" s="32">
        <f t="shared" ca="1" si="4"/>
        <v>5708252.8896802692</v>
      </c>
      <c r="T27" s="32">
        <f t="shared" ca="1" si="4"/>
        <v>5690959.9035829725</v>
      </c>
      <c r="U27" s="32">
        <f t="shared" ca="1" si="4"/>
        <v>5673283.6990098702</v>
      </c>
      <c r="V27" s="32">
        <f t="shared" ca="1" si="4"/>
        <v>5655320.1435981747</v>
      </c>
      <c r="W27" s="32">
        <f t="shared" ca="1" si="4"/>
        <v>5638330.3259120556</v>
      </c>
      <c r="X27" s="32">
        <f t="shared" ca="1" si="4"/>
        <v>5621513.7640420804</v>
      </c>
      <c r="Y27" s="32"/>
      <c r="AA27" s="44"/>
    </row>
    <row r="28" spans="1:68">
      <c r="D28" s="32"/>
      <c r="E28" s="32"/>
      <c r="F28" s="32"/>
      <c r="G28" s="32"/>
      <c r="H28" s="32"/>
      <c r="I28" s="32"/>
      <c r="J28" s="32"/>
      <c r="K28" s="32"/>
      <c r="L28" s="32"/>
      <c r="M28" s="32"/>
      <c r="N28" s="32"/>
      <c r="O28" s="32"/>
      <c r="P28" s="32"/>
      <c r="Q28" s="32"/>
      <c r="R28" s="32"/>
      <c r="S28" s="32"/>
      <c r="T28" s="32"/>
      <c r="U28" s="32"/>
      <c r="V28" s="32"/>
      <c r="W28" s="32"/>
      <c r="X28" s="32"/>
    </row>
    <row r="29" spans="1:68" ht="15">
      <c r="A29" s="53" t="str">
        <f>CONCATENATE("# HOMES APPLICABLE BY YEAR FOR MEASURE - ",C30)</f>
        <v># HOMES APPLICABLE BY YEAR FOR MEASURE - Showerheads - Retro</v>
      </c>
      <c r="B29" s="53"/>
      <c r="C29" s="7" t="s">
        <v>156</v>
      </c>
      <c r="D29" s="32"/>
      <c r="E29" s="32"/>
      <c r="F29" s="32"/>
      <c r="G29" s="32"/>
      <c r="H29" s="32"/>
      <c r="I29" s="32"/>
      <c r="J29" s="32"/>
      <c r="K29" s="32"/>
      <c r="L29" s="32"/>
      <c r="M29" s="32"/>
      <c r="N29" s="32"/>
      <c r="O29" s="32"/>
      <c r="P29" s="32"/>
      <c r="Q29" s="32"/>
      <c r="R29" s="32"/>
      <c r="S29" s="32"/>
      <c r="T29" s="32"/>
      <c r="U29" s="32"/>
      <c r="V29" s="32"/>
      <c r="W29" s="32"/>
      <c r="X29" s="32"/>
      <c r="AA29" s="42">
        <v>0.85</v>
      </c>
    </row>
    <row r="30" spans="1:68" ht="15">
      <c r="A30" s="62" t="s">
        <v>67</v>
      </c>
      <c r="B30" s="62" t="s">
        <v>154</v>
      </c>
      <c r="C30" s="62" t="str">
        <f>CONCATENATE(C8," - ",C7)</f>
        <v>Showerheads - Retro</v>
      </c>
      <c r="D30" s="7">
        <v>2</v>
      </c>
      <c r="E30" s="7">
        <v>3</v>
      </c>
      <c r="F30" s="7">
        <v>4</v>
      </c>
      <c r="G30" s="7">
        <v>5</v>
      </c>
      <c r="H30" s="7">
        <v>6</v>
      </c>
      <c r="I30" s="7">
        <v>7</v>
      </c>
      <c r="J30" s="7">
        <v>8</v>
      </c>
      <c r="K30" s="7">
        <v>9</v>
      </c>
      <c r="L30" s="7">
        <v>10</v>
      </c>
      <c r="M30" s="7">
        <v>11</v>
      </c>
      <c r="N30" s="7">
        <v>12</v>
      </c>
      <c r="O30" s="7">
        <v>13</v>
      </c>
      <c r="P30" s="7">
        <v>14</v>
      </c>
      <c r="Q30" s="7">
        <v>15</v>
      </c>
      <c r="R30" s="7">
        <v>16</v>
      </c>
      <c r="S30" s="7">
        <v>17</v>
      </c>
      <c r="T30" s="7">
        <v>18</v>
      </c>
      <c r="U30" s="7">
        <v>19</v>
      </c>
      <c r="V30" s="7">
        <v>20</v>
      </c>
      <c r="W30" s="7">
        <v>21</v>
      </c>
      <c r="X30" s="7">
        <v>22</v>
      </c>
      <c r="AA30" s="40" t="s">
        <v>68</v>
      </c>
    </row>
    <row r="31" spans="1:68">
      <c r="A31" s="54">
        <f>INDEX([2]!ResApplic,MATCH($C$30,[2]APPLIC!$B$9:$B$120,0)+1,MATCH($C31,[2]APPLIC!$C$8:$F$8,0)+1)</f>
        <v>0.44247428657992416</v>
      </c>
      <c r="B31" s="235">
        <f>VLOOKUP($C31,'Units Per Home'!$A$5:$B$8,2,FALSE)</f>
        <v>1.7774820945436154</v>
      </c>
      <c r="C31" s="7" t="str">
        <f>C13</f>
        <v>Single Family</v>
      </c>
      <c r="E31" s="32">
        <f ca="1">E13*$A31*$B31</f>
        <v>3306033.4621800985</v>
      </c>
      <c r="F31" s="32">
        <f t="shared" ref="F31:W34" ca="1" si="5">F13*$A31*$B31</f>
        <v>3298526.1832110556</v>
      </c>
      <c r="G31" s="32">
        <f t="shared" ca="1" si="5"/>
        <v>3291035.9516307227</v>
      </c>
      <c r="H31" s="32">
        <f t="shared" ca="1" si="5"/>
        <v>3283562.7287282087</v>
      </c>
      <c r="I31" s="32">
        <f t="shared" ca="1" si="5"/>
        <v>3276106.4758805265</v>
      </c>
      <c r="J31" s="32">
        <f t="shared" ca="1" si="5"/>
        <v>3268667.1545523922</v>
      </c>
      <c r="K31" s="32">
        <f t="shared" ca="1" si="5"/>
        <v>3261244.7262960277</v>
      </c>
      <c r="L31" s="32">
        <f t="shared" ca="1" si="5"/>
        <v>3253839.152750961</v>
      </c>
      <c r="M31" s="32">
        <f t="shared" ca="1" si="5"/>
        <v>3246450.3956438303</v>
      </c>
      <c r="N31" s="32">
        <f t="shared" ca="1" si="5"/>
        <v>3239078.4167881827</v>
      </c>
      <c r="O31" s="32">
        <f t="shared" ca="1" si="5"/>
        <v>3231723.1780842762</v>
      </c>
      <c r="P31" s="32">
        <f t="shared" ca="1" si="5"/>
        <v>3224384.641518889</v>
      </c>
      <c r="Q31" s="32">
        <f t="shared" ca="1" si="5"/>
        <v>3217062.7691651173</v>
      </c>
      <c r="R31" s="32">
        <f t="shared" ca="1" si="5"/>
        <v>3209757.5231821807</v>
      </c>
      <c r="S31" s="32">
        <f t="shared" ca="1" si="5"/>
        <v>3202468.8658152279</v>
      </c>
      <c r="T31" s="32">
        <f t="shared" ca="1" si="5"/>
        <v>3195196.7593951384</v>
      </c>
      <c r="U31" s="32">
        <f t="shared" ca="1" si="5"/>
        <v>3187941.1663383325</v>
      </c>
      <c r="V31" s="32">
        <f t="shared" ca="1" si="5"/>
        <v>3180702.049146574</v>
      </c>
      <c r="W31" s="32">
        <f t="shared" ca="1" si="5"/>
        <v>3173479.3704067748</v>
      </c>
      <c r="X31" s="32">
        <f ca="1">X13*$A31*$B31</f>
        <v>3166273.0927908076</v>
      </c>
      <c r="Y31" s="32"/>
      <c r="Z31" s="32"/>
      <c r="AA31" s="44">
        <f ca="1">X31*$AA$29</f>
        <v>2691332.1288721864</v>
      </c>
    </row>
    <row r="32" spans="1:68">
      <c r="A32" s="54">
        <f>INDEX([2]!ResApplic,MATCH($C$30,[2]APPLIC!$B$9:$B$120,0)+1,MATCH($C32,[2]APPLIC!$C$8:$F$8,0)+1)</f>
        <v>0.58000000000000007</v>
      </c>
      <c r="B32" s="235">
        <f>VLOOKUP($C32,'Units Per Home'!$A$5:$B$8,2,FALSE)</f>
        <v>1.2545812426096488</v>
      </c>
      <c r="C32" s="7" t="str">
        <f>C14</f>
        <v>Multifamily - Low Rise</v>
      </c>
      <c r="E32" s="32">
        <f t="shared" ref="E32:T34" ca="1" si="6">E14*$A32*$B32</f>
        <v>673987.50080874318</v>
      </c>
      <c r="F32" s="32">
        <f t="shared" ca="1" si="6"/>
        <v>672456.99798765546</v>
      </c>
      <c r="G32" s="32">
        <f t="shared" ca="1" si="6"/>
        <v>670929.97065963328</v>
      </c>
      <c r="H32" s="32">
        <f t="shared" ca="1" si="6"/>
        <v>669406.41093246522</v>
      </c>
      <c r="I32" s="32">
        <f t="shared" ca="1" si="6"/>
        <v>667886.31093186128</v>
      </c>
      <c r="J32" s="32">
        <f t="shared" ca="1" si="6"/>
        <v>666369.6628014131</v>
      </c>
      <c r="K32" s="32">
        <f t="shared" ca="1" si="6"/>
        <v>664856.45870255225</v>
      </c>
      <c r="L32" s="32">
        <f t="shared" ca="1" si="6"/>
        <v>663346.69081451022</v>
      </c>
      <c r="M32" s="32">
        <f t="shared" ca="1" si="6"/>
        <v>661840.3513342787</v>
      </c>
      <c r="N32" s="32">
        <f t="shared" ca="1" si="6"/>
        <v>660337.4324765678</v>
      </c>
      <c r="O32" s="32">
        <f t="shared" ca="1" si="6"/>
        <v>658837.92647376738</v>
      </c>
      <c r="P32" s="32">
        <f t="shared" ca="1" si="6"/>
        <v>657341.8255759055</v>
      </c>
      <c r="Q32" s="32">
        <f t="shared" ca="1" si="6"/>
        <v>655849.12205060909</v>
      </c>
      <c r="R32" s="32">
        <f t="shared" ca="1" si="6"/>
        <v>654359.80818306422</v>
      </c>
      <c r="S32" s="32">
        <f t="shared" ca="1" si="6"/>
        <v>652873.87627597572</v>
      </c>
      <c r="T32" s="32">
        <f t="shared" ca="1" si="6"/>
        <v>651391.31864952738</v>
      </c>
      <c r="U32" s="32">
        <f t="shared" ca="1" si="5"/>
        <v>649912.1276413427</v>
      </c>
      <c r="V32" s="32">
        <f t="shared" ca="1" si="5"/>
        <v>648436.29560644506</v>
      </c>
      <c r="W32" s="32">
        <f t="shared" ca="1" si="5"/>
        <v>646963.81491721782</v>
      </c>
      <c r="X32" s="32">
        <f t="shared" ref="X32" ca="1" si="7">X14*$A32*$B32</f>
        <v>645494.6779633658</v>
      </c>
      <c r="Y32" s="32"/>
      <c r="AA32" s="44">
        <f ca="1">X32*$AA$29</f>
        <v>548670.47626886086</v>
      </c>
    </row>
    <row r="33" spans="1:71">
      <c r="A33" s="54">
        <f>INDEX([2]!ResApplic,MATCH($C$30,[2]APPLIC!$B$9:$B$120,0)+1,MATCH($C33,[2]APPLIC!$C$8:$F$8,0)+1)</f>
        <v>0.58000000000000007</v>
      </c>
      <c r="B33" s="235">
        <f>VLOOKUP($C33,'Units Per Home'!$A$5:$B$8,2,FALSE)</f>
        <v>1.2545812426096488</v>
      </c>
      <c r="C33" s="7" t="str">
        <f>C15</f>
        <v>Multifamily - High Rise</v>
      </c>
      <c r="E33" s="32">
        <f t="shared" ca="1" si="6"/>
        <v>153666.68886026987</v>
      </c>
      <c r="F33" s="32">
        <f t="shared" ca="1" si="5"/>
        <v>153317.73980628056</v>
      </c>
      <c r="G33" s="32">
        <f t="shared" ca="1" si="5"/>
        <v>152969.58315201808</v>
      </c>
      <c r="H33" s="32">
        <f t="shared" ca="1" si="5"/>
        <v>152622.21709808704</v>
      </c>
      <c r="I33" s="32">
        <f t="shared" ca="1" si="5"/>
        <v>152275.63984917811</v>
      </c>
      <c r="J33" s="32">
        <f t="shared" ca="1" si="5"/>
        <v>151929.84961405882</v>
      </c>
      <c r="K33" s="32">
        <f t="shared" ca="1" si="5"/>
        <v>151584.84460556429</v>
      </c>
      <c r="L33" s="32">
        <f t="shared" ca="1" si="5"/>
        <v>151240.62304058779</v>
      </c>
      <c r="M33" s="32">
        <f t="shared" ca="1" si="5"/>
        <v>150897.18314007195</v>
      </c>
      <c r="N33" s="32">
        <f t="shared" ca="1" si="5"/>
        <v>150554.52312899911</v>
      </c>
      <c r="O33" s="32">
        <f t="shared" ca="1" si="5"/>
        <v>150212.64123638245</v>
      </c>
      <c r="P33" s="32">
        <f t="shared" ca="1" si="5"/>
        <v>149871.53569525678</v>
      </c>
      <c r="Q33" s="32">
        <f t="shared" ca="1" si="5"/>
        <v>149531.20474266922</v>
      </c>
      <c r="R33" s="32">
        <f t="shared" ca="1" si="5"/>
        <v>149191.64661967035</v>
      </c>
      <c r="S33" s="32">
        <f t="shared" ca="1" si="5"/>
        <v>148852.85957130505</v>
      </c>
      <c r="T33" s="32">
        <f t="shared" ca="1" si="5"/>
        <v>148514.84184660317</v>
      </c>
      <c r="U33" s="32">
        <f t="shared" ca="1" si="5"/>
        <v>148177.59169857093</v>
      </c>
      <c r="V33" s="32">
        <f t="shared" ca="1" si="5"/>
        <v>147841.10738418155</v>
      </c>
      <c r="W33" s="32">
        <f t="shared" ca="1" si="5"/>
        <v>147505.38716436632</v>
      </c>
      <c r="X33" s="32">
        <f t="shared" ref="X33" ca="1" si="8">X15*$A33*$B33</f>
        <v>147170.42930400567</v>
      </c>
      <c r="Y33" s="32"/>
      <c r="AA33" s="44">
        <f ca="1">X33*$AA$29</f>
        <v>125094.86490840481</v>
      </c>
    </row>
    <row r="34" spans="1:71">
      <c r="A34" s="54">
        <f>INDEX([2]!ResApplic,MATCH($C$30,[2]APPLIC!$B$9:$B$120,0)+1,MATCH($C34,[2]APPLIC!$C$8:$F$8,0)+1)</f>
        <v>0.33999999999999997</v>
      </c>
      <c r="B34" s="235">
        <f>VLOOKUP($C34,'Units Per Home'!$A$5:$B$8,2,FALSE)</f>
        <v>1.6479686904104249</v>
      </c>
      <c r="C34" s="7" t="str">
        <f>C16</f>
        <v>Manufactured</v>
      </c>
      <c r="E34" s="32">
        <f t="shared" ca="1" si="6"/>
        <v>320500.49645652837</v>
      </c>
      <c r="F34" s="32">
        <f t="shared" ca="1" si="5"/>
        <v>317075.31198489136</v>
      </c>
      <c r="G34" s="32">
        <f t="shared" ca="1" si="5"/>
        <v>313686.73241338541</v>
      </c>
      <c r="H34" s="32">
        <f t="shared" ca="1" si="5"/>
        <v>310334.36654593784</v>
      </c>
      <c r="I34" s="32">
        <f t="shared" ca="1" si="5"/>
        <v>307017.827367183</v>
      </c>
      <c r="J34" s="32">
        <f t="shared" ca="1" si="5"/>
        <v>303736.73199778335</v>
      </c>
      <c r="K34" s="32">
        <f t="shared" ca="1" si="5"/>
        <v>300490.70165022765</v>
      </c>
      <c r="L34" s="32">
        <f t="shared" ca="1" si="5"/>
        <v>297279.36158510158</v>
      </c>
      <c r="M34" s="32">
        <f t="shared" ca="1" si="5"/>
        <v>294102.34106782585</v>
      </c>
      <c r="N34" s="32">
        <f t="shared" ca="1" si="5"/>
        <v>290959.27332585672</v>
      </c>
      <c r="O34" s="32">
        <f t="shared" ca="1" si="5"/>
        <v>287849.79550634359</v>
      </c>
      <c r="P34" s="32">
        <f t="shared" ca="1" si="5"/>
        <v>284773.54863423953</v>
      </c>
      <c r="Q34" s="32">
        <f t="shared" ca="1" si="5"/>
        <v>281730.1775708588</v>
      </c>
      <c r="R34" s="32">
        <f t="shared" ca="1" si="5"/>
        <v>278719.3309728782</v>
      </c>
      <c r="S34" s="32">
        <f t="shared" ca="1" si="5"/>
        <v>275740.6612517758</v>
      </c>
      <c r="T34" s="32">
        <f t="shared" ca="1" si="5"/>
        <v>272793.8245337035</v>
      </c>
      <c r="U34" s="32">
        <f t="shared" ca="1" si="5"/>
        <v>269878.4806197884</v>
      </c>
      <c r="V34" s="32">
        <f t="shared" ca="1" si="5"/>
        <v>266994.29294685839</v>
      </c>
      <c r="W34" s="32">
        <f t="shared" ca="1" si="5"/>
        <v>264140.92854858731</v>
      </c>
      <c r="X34" s="32">
        <f t="shared" ref="X34" ca="1" si="9">X16*$A34*$B34</f>
        <v>261318.05801705562</v>
      </c>
      <c r="Y34" s="32"/>
      <c r="AA34" s="44">
        <f ca="1">X34*$AA$29</f>
        <v>222120.34931449726</v>
      </c>
    </row>
    <row r="35" spans="1:71">
      <c r="E35" s="32"/>
      <c r="F35" s="32"/>
      <c r="G35" s="32"/>
      <c r="H35" s="32"/>
      <c r="I35" s="32"/>
      <c r="J35" s="32"/>
      <c r="K35" s="32"/>
      <c r="L35" s="32"/>
      <c r="M35" s="32"/>
      <c r="N35" s="32"/>
      <c r="O35" s="32"/>
      <c r="P35" s="32"/>
      <c r="Q35" s="32"/>
      <c r="R35" s="32"/>
      <c r="S35" s="32"/>
      <c r="T35" s="32"/>
      <c r="U35" s="32"/>
      <c r="V35" s="32"/>
      <c r="W35" s="32"/>
      <c r="X35" s="32"/>
      <c r="Y35" s="32"/>
    </row>
    <row r="36" spans="1:71">
      <c r="E36" s="32">
        <f t="shared" ref="E36:X36" ca="1" si="10">SUM(E31:E34)</f>
        <v>4454188.1483056396</v>
      </c>
      <c r="F36" s="32">
        <f t="shared" ca="1" si="10"/>
        <v>4441376.2329898831</v>
      </c>
      <c r="G36" s="32">
        <f t="shared" ca="1" si="10"/>
        <v>4428622.2378557594</v>
      </c>
      <c r="H36" s="32">
        <f t="shared" ca="1" si="10"/>
        <v>4415925.7233046992</v>
      </c>
      <c r="I36" s="32">
        <f t="shared" ca="1" si="10"/>
        <v>4403286.2540287487</v>
      </c>
      <c r="J36" s="32">
        <f t="shared" ca="1" si="10"/>
        <v>4390703.3989656474</v>
      </c>
      <c r="K36" s="32">
        <f t="shared" ca="1" si="10"/>
        <v>4378176.7312543718</v>
      </c>
      <c r="L36" s="32">
        <f t="shared" ca="1" si="10"/>
        <v>4365705.8281911612</v>
      </c>
      <c r="M36" s="32">
        <f t="shared" ca="1" si="10"/>
        <v>4353290.2711860063</v>
      </c>
      <c r="N36" s="32">
        <f t="shared" ca="1" si="10"/>
        <v>4340929.6457196055</v>
      </c>
      <c r="O36" s="32">
        <f t="shared" ca="1" si="10"/>
        <v>4328623.5413007699</v>
      </c>
      <c r="P36" s="32">
        <f t="shared" ca="1" si="10"/>
        <v>4316371.551424291</v>
      </c>
      <c r="Q36" s="32">
        <f t="shared" ca="1" si="10"/>
        <v>4304173.2735292539</v>
      </c>
      <c r="R36" s="32">
        <f t="shared" ca="1" si="10"/>
        <v>4292028.3089577937</v>
      </c>
      <c r="S36" s="32">
        <f t="shared" ca="1" si="10"/>
        <v>4279936.2629142841</v>
      </c>
      <c r="T36" s="32">
        <f t="shared" ca="1" si="10"/>
        <v>4267896.7444249727</v>
      </c>
      <c r="U36" s="32">
        <f t="shared" ca="1" si="10"/>
        <v>4255909.3662980348</v>
      </c>
      <c r="V36" s="32">
        <f t="shared" ca="1" si="10"/>
        <v>4243973.7450840594</v>
      </c>
      <c r="W36" s="32">
        <f t="shared" ca="1" si="10"/>
        <v>4232089.5010369467</v>
      </c>
      <c r="X36" s="32">
        <f t="shared" ca="1" si="10"/>
        <v>4220256.2580752345</v>
      </c>
      <c r="Y36" s="32"/>
      <c r="AA36" s="44">
        <f ca="1">MAX(E36:X36)*$AA$29</f>
        <v>3786059.9260597937</v>
      </c>
    </row>
    <row r="37" spans="1:71">
      <c r="D37" s="32"/>
      <c r="E37" s="32"/>
      <c r="F37" s="32"/>
      <c r="G37" s="32"/>
      <c r="H37" s="32"/>
      <c r="I37" s="32"/>
      <c r="J37" s="32"/>
      <c r="K37" s="32"/>
      <c r="L37" s="32"/>
      <c r="M37" s="32"/>
      <c r="N37" s="32"/>
      <c r="O37" s="32"/>
      <c r="P37" s="32"/>
      <c r="Q37" s="32"/>
      <c r="R37" s="32"/>
      <c r="S37" s="32"/>
      <c r="T37" s="32"/>
      <c r="U37" s="32"/>
      <c r="V37" s="32"/>
      <c r="W37" s="32"/>
      <c r="X37" s="32"/>
    </row>
    <row r="38" spans="1:71" ht="15">
      <c r="A38" s="53" t="str">
        <f>CONCATENATE("# HOMES APPLICABLE BY YEAR FOR MEASURE - ",C30)</f>
        <v># HOMES APPLICABLE BY YEAR FOR MEASURE - Showerheads - Retro</v>
      </c>
      <c r="C38" s="7" t="s">
        <v>157</v>
      </c>
      <c r="D38" s="32"/>
      <c r="E38" s="32"/>
      <c r="F38" s="32"/>
      <c r="G38" s="32"/>
      <c r="H38" s="32"/>
      <c r="I38" s="32"/>
      <c r="J38" s="32"/>
      <c r="K38" s="32"/>
      <c r="L38" s="32"/>
      <c r="M38" s="32"/>
      <c r="N38" s="32"/>
      <c r="O38" s="32"/>
      <c r="P38" s="32"/>
      <c r="Q38" s="32"/>
      <c r="R38" s="32"/>
      <c r="S38" s="32"/>
      <c r="T38" s="32"/>
      <c r="U38" s="32"/>
      <c r="V38" s="32"/>
      <c r="W38" s="32"/>
      <c r="X38" s="32"/>
      <c r="AA38" s="42">
        <v>0.85</v>
      </c>
    </row>
    <row r="39" spans="1:71" ht="15">
      <c r="A39" s="62" t="s">
        <v>67</v>
      </c>
      <c r="B39" s="62" t="s">
        <v>154</v>
      </c>
      <c r="C39" s="62" t="str">
        <f>CONCATENATE(C8," - ","NEW")</f>
        <v>Showerheads - NEW</v>
      </c>
      <c r="D39" s="7">
        <v>2</v>
      </c>
      <c r="E39" s="7">
        <v>3</v>
      </c>
      <c r="F39" s="7">
        <v>4</v>
      </c>
      <c r="G39" s="7">
        <v>5</v>
      </c>
      <c r="H39" s="7">
        <v>6</v>
      </c>
      <c r="I39" s="7">
        <v>7</v>
      </c>
      <c r="J39" s="7">
        <v>8</v>
      </c>
      <c r="K39" s="7">
        <v>9</v>
      </c>
      <c r="L39" s="7">
        <v>10</v>
      </c>
      <c r="M39" s="7">
        <v>11</v>
      </c>
      <c r="N39" s="7">
        <v>12</v>
      </c>
      <c r="O39" s="7">
        <v>13</v>
      </c>
      <c r="P39" s="7">
        <v>14</v>
      </c>
      <c r="Q39" s="7">
        <v>15</v>
      </c>
      <c r="R39" s="7">
        <v>16</v>
      </c>
      <c r="S39" s="7">
        <v>17</v>
      </c>
      <c r="T39" s="7">
        <v>18</v>
      </c>
      <c r="U39" s="7">
        <v>19</v>
      </c>
      <c r="V39" s="7">
        <v>20</v>
      </c>
      <c r="W39" s="7">
        <v>21</v>
      </c>
      <c r="X39" s="7">
        <v>22</v>
      </c>
      <c r="AA39" s="40" t="s">
        <v>68</v>
      </c>
    </row>
    <row r="40" spans="1:71">
      <c r="A40" s="54">
        <f>INDEX([2]!ResApplic,MATCH($C$39,[2]APPLIC!$B$9:$B$120,0)+1,MATCH($C40,[2]APPLIC!$C$8:$F$8,0)+1)</f>
        <v>0.51600000000000001</v>
      </c>
      <c r="B40" s="235">
        <f>VLOOKUP($C40,'Units Per Home'!$A$5:$B$8,2,FALSE)</f>
        <v>1.7774820945436154</v>
      </c>
      <c r="C40" s="7" t="str">
        <f>C22</f>
        <v>Single Family</v>
      </c>
      <c r="E40" s="32">
        <f>E22*$A40*$B40</f>
        <v>0</v>
      </c>
      <c r="F40" s="32">
        <f ca="1">F22*$A40*$B40</f>
        <v>54736.079112193802</v>
      </c>
      <c r="G40" s="32">
        <f ca="1">G22*$A40*$B40+F40</f>
        <v>104455.3880706171</v>
      </c>
      <c r="H40" s="32">
        <f t="shared" ref="H40:X43" ca="1" si="11">H22*$A40*$B40+G40</f>
        <v>149080.57947583054</v>
      </c>
      <c r="I40" s="32">
        <f t="shared" ca="1" si="11"/>
        <v>189834.82867242122</v>
      </c>
      <c r="J40" s="32">
        <f t="shared" ca="1" si="11"/>
        <v>227139.55315065233</v>
      </c>
      <c r="K40" s="32">
        <f t="shared" ca="1" si="11"/>
        <v>260664.75406638003</v>
      </c>
      <c r="L40" s="32">
        <f t="shared" ca="1" si="11"/>
        <v>291685.86110009596</v>
      </c>
      <c r="M40" s="32">
        <f t="shared" ca="1" si="11"/>
        <v>321308.48897489451</v>
      </c>
      <c r="N40" s="32">
        <f t="shared" ca="1" si="11"/>
        <v>349635.85944774572</v>
      </c>
      <c r="O40" s="32">
        <f t="shared" ca="1" si="11"/>
        <v>377660.77543410019</v>
      </c>
      <c r="P40" s="32">
        <f t="shared" ca="1" si="11"/>
        <v>405232.18088633363</v>
      </c>
      <c r="Q40" s="32">
        <f t="shared" ca="1" si="11"/>
        <v>431936.90202751098</v>
      </c>
      <c r="R40" s="32">
        <f t="shared" ca="1" si="11"/>
        <v>457534.86806087161</v>
      </c>
      <c r="S40" s="32">
        <f t="shared" ca="1" si="11"/>
        <v>482839.54818660358</v>
      </c>
      <c r="T40" s="32">
        <f t="shared" ca="1" si="11"/>
        <v>508180.67219743866</v>
      </c>
      <c r="U40" s="32">
        <f t="shared" ca="1" si="11"/>
        <v>533207.55165576912</v>
      </c>
      <c r="V40" s="32">
        <f t="shared" ca="1" si="11"/>
        <v>557405.15665830695</v>
      </c>
      <c r="W40" s="32">
        <f t="shared" ca="1" si="11"/>
        <v>581560.86811206257</v>
      </c>
      <c r="X40" s="32">
        <f t="shared" ca="1" si="11"/>
        <v>605777.75913776283</v>
      </c>
      <c r="Y40" s="32"/>
      <c r="AA40" s="44">
        <f ca="1">X40*$AA$29</f>
        <v>514911.0952670984</v>
      </c>
      <c r="AB40" s="32">
        <f ca="1">AA40+AA31</f>
        <v>3206243.2241392848</v>
      </c>
    </row>
    <row r="41" spans="1:71">
      <c r="A41" s="54">
        <f>INDEX([2]!ResApplic,MATCH($C$39,[2]APPLIC!$B$9:$B$120,0)+1,MATCH($C41,[2]APPLIC!$C$8:$F$8,0)+1)</f>
        <v>0.58000000000000007</v>
      </c>
      <c r="B41" s="235">
        <f>VLOOKUP($C41,'Units Per Home'!$A$5:$B$8,2,FALSE)</f>
        <v>1.2545812426096488</v>
      </c>
      <c r="C41" s="7" t="str">
        <f>C23</f>
        <v>Multifamily - Low Rise</v>
      </c>
      <c r="E41" s="32">
        <f t="shared" ref="E41:F43" si="12">E23*$A41*$B41</f>
        <v>0</v>
      </c>
      <c r="F41" s="32">
        <f t="shared" ca="1" si="12"/>
        <v>16026.671213380458</v>
      </c>
      <c r="G41" s="32">
        <f t="shared" ref="G41:V43" ca="1" si="13">G23*$A41*$B41+F41</f>
        <v>30969.213966358926</v>
      </c>
      <c r="H41" s="32">
        <f t="shared" ca="1" si="13"/>
        <v>44883.10093491622</v>
      </c>
      <c r="I41" s="32">
        <f t="shared" ca="1" si="13"/>
        <v>57487.779826641992</v>
      </c>
      <c r="J41" s="32">
        <f t="shared" ca="1" si="13"/>
        <v>68551.941783291069</v>
      </c>
      <c r="K41" s="32">
        <f t="shared" ca="1" si="13"/>
        <v>78510.048191409151</v>
      </c>
      <c r="L41" s="32">
        <f t="shared" ca="1" si="13"/>
        <v>87815.794172219263</v>
      </c>
      <c r="M41" s="32">
        <f t="shared" ca="1" si="13"/>
        <v>96836.725537828461</v>
      </c>
      <c r="N41" s="32">
        <f t="shared" ca="1" si="13"/>
        <v>105701.92928249165</v>
      </c>
      <c r="O41" s="32">
        <f t="shared" ca="1" si="13"/>
        <v>114499.78346566809</v>
      </c>
      <c r="P41" s="32">
        <f t="shared" ca="1" si="13"/>
        <v>123086.6899810301</v>
      </c>
      <c r="Q41" s="32">
        <f t="shared" ca="1" si="13"/>
        <v>131477.75855551174</v>
      </c>
      <c r="R41" s="32">
        <f t="shared" ca="1" si="13"/>
        <v>139723.43778971894</v>
      </c>
      <c r="S41" s="32">
        <f t="shared" ca="1" si="13"/>
        <v>147753.6732869274</v>
      </c>
      <c r="T41" s="32">
        <f t="shared" ca="1" si="13"/>
        <v>155587.78864895704</v>
      </c>
      <c r="U41" s="32">
        <f t="shared" ca="1" si="13"/>
        <v>163183.78624644081</v>
      </c>
      <c r="V41" s="32">
        <f t="shared" ca="1" si="13"/>
        <v>170649.75922840871</v>
      </c>
      <c r="W41" s="32">
        <f t="shared" ca="1" si="11"/>
        <v>178020.89587070092</v>
      </c>
      <c r="X41" s="32">
        <f t="shared" ca="1" si="11"/>
        <v>185250.04879880193</v>
      </c>
      <c r="Y41" s="32"/>
      <c r="AA41" s="44">
        <f ca="1">X41*$AA$29</f>
        <v>157462.54147898164</v>
      </c>
    </row>
    <row r="42" spans="1:71">
      <c r="A42" s="54">
        <f>INDEX([2]!ResApplic,MATCH($C$39,[2]APPLIC!$B$9:$B$120,0)+1,MATCH($C42,[2]APPLIC!$C$8:$F$8,0)+1)</f>
        <v>0.58000000000000007</v>
      </c>
      <c r="B42" s="235">
        <f>VLOOKUP($C42,'Units Per Home'!$A$5:$B$8,2,FALSE)</f>
        <v>1.2545812426096488</v>
      </c>
      <c r="C42" s="7" t="str">
        <f>C24</f>
        <v>Multifamily - High Rise</v>
      </c>
      <c r="E42" s="32">
        <f t="shared" si="12"/>
        <v>0</v>
      </c>
      <c r="F42" s="32">
        <f t="shared" ref="F42:F43" ca="1" si="14">F24*$A42*$B42</f>
        <v>3597.8505657197134</v>
      </c>
      <c r="G42" s="32">
        <f t="shared" ca="1" si="13"/>
        <v>6999.5450247580939</v>
      </c>
      <c r="H42" s="32">
        <f t="shared" ca="1" si="11"/>
        <v>10214.738442109568</v>
      </c>
      <c r="I42" s="32">
        <f t="shared" ca="1" si="11"/>
        <v>13060.237813771499</v>
      </c>
      <c r="J42" s="32">
        <f t="shared" ca="1" si="11"/>
        <v>15509.587285306701</v>
      </c>
      <c r="K42" s="32">
        <f t="shared" ca="1" si="11"/>
        <v>17747.097302236893</v>
      </c>
      <c r="L42" s="32">
        <f t="shared" ca="1" si="11"/>
        <v>19844.164738997839</v>
      </c>
      <c r="M42" s="32">
        <f t="shared" ca="1" si="11"/>
        <v>21902.318583363369</v>
      </c>
      <c r="N42" s="32">
        <f t="shared" ca="1" si="11"/>
        <v>23910.722979779828</v>
      </c>
      <c r="O42" s="32">
        <f t="shared" ca="1" si="11"/>
        <v>25903.660857236973</v>
      </c>
      <c r="P42" s="32">
        <f t="shared" ca="1" si="11"/>
        <v>27825.398280256901</v>
      </c>
      <c r="Q42" s="32">
        <f t="shared" ca="1" si="11"/>
        <v>29699.674405585145</v>
      </c>
      <c r="R42" s="32">
        <f t="shared" ca="1" si="11"/>
        <v>31525.587453685981</v>
      </c>
      <c r="S42" s="32">
        <f t="shared" ca="1" si="11"/>
        <v>33317.724132354757</v>
      </c>
      <c r="T42" s="32">
        <f t="shared" ca="1" si="11"/>
        <v>35074.42085253288</v>
      </c>
      <c r="U42" s="32">
        <f t="shared" ca="1" si="11"/>
        <v>36776.516503265906</v>
      </c>
      <c r="V42" s="32">
        <f t="shared" ca="1" si="11"/>
        <v>38451.483762578689</v>
      </c>
      <c r="W42" s="32">
        <f t="shared" ca="1" si="11"/>
        <v>40087.832185521547</v>
      </c>
      <c r="X42" s="32">
        <f t="shared" ca="1" si="11"/>
        <v>41717.921283904085</v>
      </c>
      <c r="Y42" s="32"/>
      <c r="AA42" s="44">
        <f ca="1">X42*$AA$29</f>
        <v>35460.233091318471</v>
      </c>
    </row>
    <row r="43" spans="1:71">
      <c r="A43" s="54">
        <f>INDEX([2]!ResApplic,MATCH($C$39,[2]APPLIC!$B$9:$B$120,0)+1,MATCH($C43,[2]APPLIC!$C$8:$F$8,0)+1)</f>
        <v>0.33999999999999997</v>
      </c>
      <c r="B43" s="235">
        <f>VLOOKUP($C43,'Units Per Home'!$A$5:$B$8,2,FALSE)</f>
        <v>1.6479686904104249</v>
      </c>
      <c r="C43" s="7" t="str">
        <f>C25</f>
        <v>Manufactured</v>
      </c>
      <c r="E43" s="32">
        <f t="shared" si="12"/>
        <v>0</v>
      </c>
      <c r="F43" s="32">
        <f t="shared" ca="1" si="14"/>
        <v>1014.4286082687096</v>
      </c>
      <c r="G43" s="32">
        <f t="shared" ca="1" si="13"/>
        <v>2002.159833168168</v>
      </c>
      <c r="H43" s="32">
        <f t="shared" ca="1" si="11"/>
        <v>2990.7147392277311</v>
      </c>
      <c r="I43" s="32">
        <f t="shared" ca="1" si="11"/>
        <v>3980.0206331268209</v>
      </c>
      <c r="J43" s="32">
        <f t="shared" ca="1" si="11"/>
        <v>4904.4265661513864</v>
      </c>
      <c r="K43" s="32">
        <f t="shared" ca="1" si="11"/>
        <v>5783.5000049836435</v>
      </c>
      <c r="L43" s="32">
        <f t="shared" ca="1" si="11"/>
        <v>6640.8105868247412</v>
      </c>
      <c r="M43" s="32">
        <f t="shared" ca="1" si="11"/>
        <v>7483.0989773787669</v>
      </c>
      <c r="N43" s="32">
        <f t="shared" ca="1" si="11"/>
        <v>8314.0415749387248</v>
      </c>
      <c r="O43" s="32">
        <f t="shared" ca="1" si="11"/>
        <v>9132.7261367527499</v>
      </c>
      <c r="P43" s="32">
        <f t="shared" ca="1" si="11"/>
        <v>9936.819892354295</v>
      </c>
      <c r="Q43" s="32">
        <f t="shared" ca="1" si="11"/>
        <v>10731.939042179762</v>
      </c>
      <c r="R43" s="32">
        <f t="shared" ca="1" si="11"/>
        <v>11521.67599736949</v>
      </c>
      <c r="S43" s="32">
        <f t="shared" ca="1" si="11"/>
        <v>12307.073126073059</v>
      </c>
      <c r="T43" s="32">
        <f t="shared" ca="1" si="11"/>
        <v>13088.579519931174</v>
      </c>
      <c r="U43" s="32">
        <f t="shared" ca="1" si="11"/>
        <v>13866.363969866015</v>
      </c>
      <c r="V43" s="32">
        <f t="shared" ca="1" si="11"/>
        <v>14643.596626718178</v>
      </c>
      <c r="W43" s="32">
        <f t="shared" ca="1" si="11"/>
        <v>15420.906690567524</v>
      </c>
      <c r="X43" s="32">
        <f t="shared" ca="1" si="11"/>
        <v>16198.45008138471</v>
      </c>
      <c r="Y43" s="32"/>
      <c r="AA43" s="44">
        <f ca="1">X43*$AA$29</f>
        <v>13768.682569177003</v>
      </c>
    </row>
    <row r="44" spans="1:71">
      <c r="E44" s="32"/>
      <c r="F44" s="32"/>
      <c r="G44" s="32"/>
      <c r="H44" s="32"/>
      <c r="I44" s="32"/>
      <c r="J44" s="32"/>
      <c r="K44" s="32"/>
      <c r="L44" s="32"/>
      <c r="M44" s="32"/>
      <c r="N44" s="32"/>
      <c r="O44" s="32"/>
      <c r="P44" s="32"/>
      <c r="Q44" s="32"/>
      <c r="R44" s="32"/>
      <c r="S44" s="32"/>
      <c r="T44" s="32"/>
      <c r="U44" s="32"/>
      <c r="V44" s="32"/>
      <c r="W44" s="32"/>
      <c r="X44" s="32"/>
      <c r="Y44" s="32"/>
    </row>
    <row r="45" spans="1:71">
      <c r="E45" s="32">
        <f t="shared" ref="E45:X45" si="15">SUM(E40:E43)</f>
        <v>0</v>
      </c>
      <c r="F45" s="32">
        <f t="shared" ca="1" si="15"/>
        <v>75375.029499562675</v>
      </c>
      <c r="G45" s="32">
        <f t="shared" ca="1" si="15"/>
        <v>144426.30689490229</v>
      </c>
      <c r="H45" s="32">
        <f t="shared" ca="1" si="15"/>
        <v>207169.13359208408</v>
      </c>
      <c r="I45" s="32">
        <f t="shared" ca="1" si="15"/>
        <v>264362.86694596155</v>
      </c>
      <c r="J45" s="32">
        <f t="shared" ca="1" si="15"/>
        <v>316105.50878540147</v>
      </c>
      <c r="K45" s="32">
        <f t="shared" ca="1" si="15"/>
        <v>362705.39956500969</v>
      </c>
      <c r="L45" s="32">
        <f t="shared" ca="1" si="15"/>
        <v>405986.6305981378</v>
      </c>
      <c r="M45" s="32">
        <f t="shared" ca="1" si="15"/>
        <v>447530.63207346509</v>
      </c>
      <c r="N45" s="32">
        <f t="shared" ca="1" si="15"/>
        <v>487562.55328495597</v>
      </c>
      <c r="O45" s="32">
        <f t="shared" ca="1" si="15"/>
        <v>527196.94589375798</v>
      </c>
      <c r="P45" s="32">
        <f t="shared" ca="1" si="15"/>
        <v>566081.08903997496</v>
      </c>
      <c r="Q45" s="32">
        <f t="shared" ca="1" si="15"/>
        <v>603846.27403078764</v>
      </c>
      <c r="R45" s="32">
        <f t="shared" ca="1" si="15"/>
        <v>640305.56930164597</v>
      </c>
      <c r="S45" s="32">
        <f t="shared" ca="1" si="15"/>
        <v>676218.01873195881</v>
      </c>
      <c r="T45" s="32">
        <f t="shared" ca="1" si="15"/>
        <v>711931.46121885977</v>
      </c>
      <c r="U45" s="32">
        <f t="shared" ca="1" si="15"/>
        <v>747034.21837534197</v>
      </c>
      <c r="V45" s="32">
        <f t="shared" ca="1" si="15"/>
        <v>781149.99627601251</v>
      </c>
      <c r="W45" s="32">
        <f t="shared" ca="1" si="15"/>
        <v>815090.5028588525</v>
      </c>
      <c r="X45" s="32">
        <f t="shared" ca="1" si="15"/>
        <v>848944.17930185364</v>
      </c>
      <c r="Y45" s="32"/>
      <c r="AA45" s="44">
        <f ca="1">SUM(AA40:AA43)</f>
        <v>721602.55240657553</v>
      </c>
    </row>
    <row r="47" spans="1:71" ht="15">
      <c r="A47" s="53" t="str">
        <f>CONCATENATE("# UNITS ACHIEVABLE BY YEAR FOR MEASURE - ",C48)</f>
        <v># UNITS ACHIEVABLE BY YEAR FOR MEASURE - Showerheads - Retro</v>
      </c>
      <c r="E47" s="62" t="s">
        <v>69</v>
      </c>
      <c r="F47"/>
    </row>
    <row r="48" spans="1:71" ht="15">
      <c r="C48" s="62" t="str">
        <f>C30</f>
        <v>Showerheads - Retro</v>
      </c>
      <c r="E48" s="66">
        <f>VLOOKUP($C$48,[2]ACHIEV!$B$9:$X$100,MATCH(E$11,$E$11:$Y$11,0)+2,FALSE)</f>
        <v>0.10937459468255628</v>
      </c>
      <c r="F48" s="66">
        <f>VLOOKUP($C$48,[2]ACHIEV!$B$9:$X$100,MATCH(F$11,$E$11:$Y$11,0)+2,FALSE)</f>
        <v>0.10937459468255628</v>
      </c>
      <c r="G48" s="66">
        <f>VLOOKUP($C$48,[2]ACHIEV!$B$9:$X$100,MATCH(G$11,$E$11:$Y$11,0)+2,FALSE)</f>
        <v>0.10937459468255628</v>
      </c>
      <c r="H48" s="66">
        <f>VLOOKUP($C$48,[2]ACHIEV!$B$9:$X$100,MATCH(H$11,$E$11:$Y$11,0)+2,FALSE)</f>
        <v>0.10937459468255628</v>
      </c>
      <c r="I48" s="66">
        <f>VLOOKUP($C$48,[2]ACHIEV!$B$9:$X$100,MATCH(I$11,$E$11:$Y$11,0)+2,FALSE)</f>
        <v>0.10937459468255628</v>
      </c>
      <c r="J48" s="66">
        <f>VLOOKUP($C$48,[2]ACHIEV!$B$9:$X$100,MATCH(J$11,$E$11:$Y$11,0)+2,FALSE)</f>
        <v>9.8437135214300656E-2</v>
      </c>
      <c r="K48" s="66">
        <f>VLOOKUP($C$48,[2]ACHIEV!$B$9:$X$100,MATCH(K$11,$E$11:$Y$11,0)+2,FALSE)</f>
        <v>7.874970817144053E-2</v>
      </c>
      <c r="L48" s="66">
        <f>VLOOKUP($C$48,[2]ACHIEV!$B$9:$X$100,MATCH(L$11,$E$11:$Y$11,0)+2,FALSE)</f>
        <v>6.2999766537152418E-2</v>
      </c>
      <c r="M48" s="66">
        <f>VLOOKUP($C$48,[2]ACHIEV!$B$9:$X$100,MATCH(M$11,$E$11:$Y$11,0)+2,FALSE)</f>
        <v>5.0399813229721938E-2</v>
      </c>
      <c r="N48" s="66">
        <f>VLOOKUP($C$48,[2]ACHIEV!$B$9:$X$100,MATCH(N$11,$E$11:$Y$11,0)+2,FALSE)</f>
        <v>4.0319850583777551E-2</v>
      </c>
      <c r="O48" s="66">
        <f>VLOOKUP($C$48,[2]ACHIEV!$B$9:$X$100,MATCH(O$11,$E$11:$Y$11,0)+2,FALSE)</f>
        <v>3.225588046702204E-2</v>
      </c>
      <c r="P48" s="66">
        <f>VLOOKUP($C$48,[2]ACHIEV!$B$9:$X$100,MATCH(P$11,$E$11:$Y$11,0)+2,FALSE)</f>
        <v>2.5804704373617631E-2</v>
      </c>
      <c r="Q48" s="66">
        <f>VLOOKUP($C$48,[2]ACHIEV!$B$9:$X$100,MATCH(Q$11,$E$11:$Y$11,0)+2,FALSE)</f>
        <v>2.0643763498894106E-2</v>
      </c>
      <c r="R48" s="66">
        <f>VLOOKUP($C$48,[2]ACHIEV!$B$9:$X$100,MATCH(R$11,$E$11:$Y$11,0)+2,FALSE)</f>
        <v>1.6515010799115284E-2</v>
      </c>
      <c r="S48" s="66">
        <f>VLOOKUP($C$48,[2]ACHIEV!$B$9:$X$100,MATCH(S$11,$E$11:$Y$11,0)+2,FALSE)</f>
        <v>1.3212008639292228E-2</v>
      </c>
      <c r="T48" s="66">
        <f>VLOOKUP($C$48,[2]ACHIEV!$B$9:$X$100,MATCH(T$11,$E$11:$Y$11,0)+2,FALSE)</f>
        <v>1.0569606911433781E-2</v>
      </c>
      <c r="U48" s="66">
        <f>VLOOKUP($C$48,[2]ACHIEV!$B$9:$X$100,MATCH(U$11,$E$11:$Y$11,0)+2,FALSE)</f>
        <v>7.2092823794611682E-5</v>
      </c>
      <c r="V48" s="66">
        <f>VLOOKUP($C$48,[2]ACHIEV!$B$9:$X$100,MATCH(V$11,$E$11:$Y$11,0)+2,FALSE)</f>
        <v>2.5747437069512102E-5</v>
      </c>
      <c r="W48" s="66">
        <f>VLOOKUP($C$48,[2]ACHIEV!$B$9:$X$100,MATCH(W$11,$E$11:$Y$11,0)+2,FALSE)</f>
        <v>8.7775353646568632E-6</v>
      </c>
      <c r="X48" s="66">
        <f>VLOOKUP($C$48,[2]ACHIEV!$B$9:$X$100,MATCH(X$11,$E$11:$Y$11,0)+2,FALSE)</f>
        <v>2.8622397928446119E-6</v>
      </c>
      <c r="Y48" s="66"/>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C49" s="7" t="str">
        <f>C13</f>
        <v>Single Family</v>
      </c>
      <c r="E49" s="32">
        <f ca="1">(E31+E40)*E$48*$AA$29</f>
        <v>307356.65944297909</v>
      </c>
      <c r="F49" s="32">
        <f ca="1">(F31+F40)*F$48*$AA$29</f>
        <v>311747.44568502955</v>
      </c>
      <c r="G49" s="32">
        <f t="shared" ref="G49:W49" ca="1" si="16">(G31+G40)*G$48*$AA$29</f>
        <v>315673.41567376943</v>
      </c>
      <c r="H49" s="32">
        <f t="shared" ca="1" si="16"/>
        <v>319127.37494591501</v>
      </c>
      <c r="I49" s="32">
        <f t="shared" ca="1" si="16"/>
        <v>322223.03657215764</v>
      </c>
      <c r="J49" s="32">
        <f t="shared" ca="1" si="16"/>
        <v>292499.61793384026</v>
      </c>
      <c r="K49" s="32">
        <f t="shared" ca="1" si="16"/>
        <v>235746.94221705393</v>
      </c>
      <c r="L49" s="32">
        <f t="shared" ca="1" si="16"/>
        <v>189862.16090561307</v>
      </c>
      <c r="M49" s="32">
        <f t="shared" ca="1" si="16"/>
        <v>152842.22421844507</v>
      </c>
      <c r="N49" s="32">
        <f t="shared" ca="1" si="16"/>
        <v>122991.95989484672</v>
      </c>
      <c r="O49" s="32">
        <f t="shared" ca="1" si="16"/>
        <v>98960.278759634748</v>
      </c>
      <c r="P49" s="32">
        <f t="shared" ca="1" si="16"/>
        <v>79612.010727924746</v>
      </c>
      <c r="Q49" s="32">
        <f t="shared" ca="1" si="16"/>
        <v>64029.723286696535</v>
      </c>
      <c r="R49" s="32">
        <f t="shared" ca="1" si="16"/>
        <v>51480.567428158472</v>
      </c>
      <c r="S49" s="32">
        <f t="shared" ca="1" si="16"/>
        <v>41386.777613611252</v>
      </c>
      <c r="T49" s="32">
        <f t="shared" ca="1" si="16"/>
        <v>33271.757142117473</v>
      </c>
      <c r="U49" s="32">
        <f t="shared" ca="1" si="16"/>
        <v>228.02790101390983</v>
      </c>
      <c r="V49" s="32">
        <f t="shared" ca="1" si="16"/>
        <v>81.809678034468249</v>
      </c>
      <c r="W49" s="32">
        <f t="shared" ca="1" si="16"/>
        <v>28.015998715912342</v>
      </c>
      <c r="X49" s="32">
        <f ca="1">(X31+X40)*X$48*$AA$29</f>
        <v>9.1770369416698667</v>
      </c>
      <c r="Y49" s="32"/>
      <c r="AA49" s="32">
        <f ca="1">SUM(E49:X49)</f>
        <v>2939158.9830624987</v>
      </c>
      <c r="AB49" s="7">
        <f ca="1">AA49/(AA40+AA31)</f>
        <v>0.91669869613572919</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C50" s="7" t="str">
        <f>C14</f>
        <v>Multifamily - Low Rise</v>
      </c>
      <c r="E50" s="32">
        <f t="shared" ref="E50:W50" ca="1" si="17">(E32+E41)*E$48*$AA$29</f>
        <v>62659.543263755557</v>
      </c>
      <c r="F50" s="32">
        <f t="shared" ca="1" si="17"/>
        <v>64007.228924759089</v>
      </c>
      <c r="G50" s="32">
        <f t="shared" ca="1" si="17"/>
        <v>65254.448002511941</v>
      </c>
      <c r="H50" s="32">
        <f t="shared" ca="1" si="17"/>
        <v>66406.356969521439</v>
      </c>
      <c r="I50" s="32">
        <f t="shared" ca="1" si="17"/>
        <v>67436.872594448228</v>
      </c>
      <c r="J50" s="32">
        <f t="shared" ca="1" si="17"/>
        <v>61492.040758053023</v>
      </c>
      <c r="K50" s="32">
        <f t="shared" ca="1" si="17"/>
        <v>49758.91115997421</v>
      </c>
      <c r="L50" s="32">
        <f t="shared" ca="1" si="17"/>
        <v>40224.602007786532</v>
      </c>
      <c r="M50" s="32">
        <f t="shared" ca="1" si="17"/>
        <v>32501.605529621753</v>
      </c>
      <c r="N50" s="32">
        <f t="shared" ca="1" si="17"/>
        <v>26253.603716304959</v>
      </c>
      <c r="O50" s="32">
        <f t="shared" ca="1" si="17"/>
        <v>21202.985422579943</v>
      </c>
      <c r="P50" s="32">
        <f t="shared" ca="1" si="17"/>
        <v>17117.918059384774</v>
      </c>
      <c r="Q50" s="32">
        <f t="shared" ca="1" si="17"/>
        <v>13815.381431621576</v>
      </c>
      <c r="R50" s="32">
        <f t="shared" ca="1" si="17"/>
        <v>11147.149375241479</v>
      </c>
      <c r="S50" s="32">
        <f t="shared" ca="1" si="17"/>
        <v>8991.2133864283769</v>
      </c>
      <c r="T50" s="32">
        <f t="shared" ca="1" si="17"/>
        <v>7250.0341574020149</v>
      </c>
      <c r="U50" s="32">
        <f t="shared" ca="1" si="17"/>
        <v>49.825623380826123</v>
      </c>
      <c r="V50" s="32">
        <f t="shared" ca="1" si="17"/>
        <v>17.925961653669034</v>
      </c>
      <c r="W50" s="32">
        <f t="shared" ca="1" si="17"/>
        <v>6.1551326031058453</v>
      </c>
      <c r="X50" s="32">
        <f ca="1">(X32+X41)*X$48*$AA$29</f>
        <v>2.0211220224393256</v>
      </c>
      <c r="Y50" s="32"/>
      <c r="AA50" s="32">
        <f ca="1">SUM(E50:X50)</f>
        <v>615595.82259905501</v>
      </c>
      <c r="AB50" s="7">
        <f t="shared" ref="AB50:AB52" ca="1" si="18">AA50/(AA41+AA32)</f>
        <v>0.87178450394863427</v>
      </c>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C51" s="7" t="str">
        <f>C15</f>
        <v>Multifamily - High Rise</v>
      </c>
      <c r="E51" s="32">
        <f t="shared" ref="E51:W51" ca="1" si="19">(E33+E42)*E$48*$AA$29</f>
        <v>14286.147038757126</v>
      </c>
      <c r="F51" s="32">
        <f t="shared" ca="1" si="19"/>
        <v>14588.192231864827</v>
      </c>
      <c r="G51" s="32">
        <f t="shared" ca="1" si="19"/>
        <v>14872.074772648268</v>
      </c>
      <c r="H51" s="32">
        <f t="shared" ca="1" si="19"/>
        <v>15138.692109817875</v>
      </c>
      <c r="I51" s="32">
        <f t="shared" ca="1" si="19"/>
        <v>15371.012914989351</v>
      </c>
      <c r="J51" s="32">
        <f t="shared" ca="1" si="19"/>
        <v>14009.919716728826</v>
      </c>
      <c r="K51" s="32">
        <f t="shared" ca="1" si="19"/>
        <v>11334.614857941264</v>
      </c>
      <c r="L51" s="32">
        <f t="shared" ca="1" si="19"/>
        <v>9161.5564349463366</v>
      </c>
      <c r="M51" s="32">
        <f t="shared" ca="1" si="19"/>
        <v>7402.7032210926318</v>
      </c>
      <c r="N51" s="32">
        <f t="shared" ca="1" si="19"/>
        <v>5979.2507568927531</v>
      </c>
      <c r="O51" s="32">
        <f t="shared" ca="1" si="19"/>
        <v>4828.6684303318716</v>
      </c>
      <c r="P51" s="32">
        <f t="shared" ca="1" si="19"/>
        <v>3897.604321935924</v>
      </c>
      <c r="Q51" s="32">
        <f t="shared" ca="1" si="19"/>
        <v>3144.9998987101189</v>
      </c>
      <c r="R51" s="32">
        <f t="shared" ca="1" si="19"/>
        <v>2536.8650114615657</v>
      </c>
      <c r="S51" s="32">
        <f t="shared" ca="1" si="19"/>
        <v>2045.813426860012</v>
      </c>
      <c r="T51" s="32">
        <f t="shared" ca="1" si="19"/>
        <v>1649.3963889063473</v>
      </c>
      <c r="U51" s="32">
        <f t="shared" ca="1" si="19"/>
        <v>11.333784342781881</v>
      </c>
      <c r="V51" s="32">
        <f t="shared" ca="1" si="19"/>
        <v>4.0770732520074233</v>
      </c>
      <c r="W51" s="32">
        <f t="shared" ca="1" si="19"/>
        <v>1.3996151994614519</v>
      </c>
      <c r="X51" s="32">
        <f ca="1">(X33+X42)*X$48*$AA$29</f>
        <v>0.45954719043887438</v>
      </c>
      <c r="Y51" s="32"/>
      <c r="AA51" s="32">
        <f t="shared" ref="AA51:AA52" ca="1" si="20">SUM(E51:X51)</f>
        <v>140264.78155386978</v>
      </c>
      <c r="AB51" s="7">
        <f t="shared" ca="1" si="18"/>
        <v>0.87362396648477347</v>
      </c>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C52" s="7" t="str">
        <f>C16</f>
        <v>Manufactured</v>
      </c>
      <c r="E52" s="32">
        <f t="shared" ref="E52:W52" ca="1" si="21">(E34+E43)*E$48*$AA$29</f>
        <v>29796.42011116723</v>
      </c>
      <c r="F52" s="32">
        <f t="shared" ca="1" si="21"/>
        <v>29572.295982547901</v>
      </c>
      <c r="G52" s="32">
        <f t="shared" ca="1" si="21"/>
        <v>29349.092939964183</v>
      </c>
      <c r="H52" s="32">
        <f t="shared" ca="1" si="21"/>
        <v>29129.333204027385</v>
      </c>
      <c r="I52" s="32">
        <f t="shared" ca="1" si="21"/>
        <v>28912.974036353968</v>
      </c>
      <c r="J52" s="32">
        <f t="shared" ca="1" si="21"/>
        <v>25824.488739517983</v>
      </c>
      <c r="K52" s="32">
        <f t="shared" ca="1" si="21"/>
        <v>20501.153400670493</v>
      </c>
      <c r="L52" s="32">
        <f t="shared" ca="1" si="21"/>
        <v>16274.864908848145</v>
      </c>
      <c r="M52" s="32">
        <f t="shared" ca="1" si="21"/>
        <v>12919.872373419543</v>
      </c>
      <c r="N52" s="32">
        <f t="shared" ca="1" si="21"/>
        <v>10256.657039435098</v>
      </c>
      <c r="O52" s="32">
        <f t="shared" ca="1" si="21"/>
        <v>8142.5178110773268</v>
      </c>
      <c r="P52" s="32">
        <f t="shared" ca="1" si="21"/>
        <v>6464.1768453183613</v>
      </c>
      <c r="Q52" s="32">
        <f t="shared" ca="1" si="21"/>
        <v>5131.8909525837234</v>
      </c>
      <c r="R52" s="32">
        <f t="shared" ca="1" si="21"/>
        <v>4074.3333597907754</v>
      </c>
      <c r="S52" s="32">
        <f t="shared" ca="1" si="21"/>
        <v>3234.8357818593877</v>
      </c>
      <c r="T52" s="32">
        <f t="shared" ca="1" si="21"/>
        <v>2568.4149386812114</v>
      </c>
      <c r="U52" s="32">
        <f t="shared" ca="1" si="21"/>
        <v>17.387572021086715</v>
      </c>
      <c r="V52" s="32">
        <f t="shared" ca="1" si="21"/>
        <v>6.163735762457982</v>
      </c>
      <c r="W52" s="32">
        <f t="shared" ca="1" si="21"/>
        <v>2.085784311107048</v>
      </c>
      <c r="X52" s="32">
        <f ca="1">(X34+X43)*X$48*$AA$29</f>
        <v>0.67517097375304391</v>
      </c>
      <c r="Y52" s="32"/>
      <c r="AA52" s="32">
        <f t="shared" ca="1" si="20"/>
        <v>262179.63468833111</v>
      </c>
      <c r="AB52" s="7">
        <f t="shared" ca="1" si="18"/>
        <v>1.1114532650997597</v>
      </c>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E53" s="32"/>
      <c r="F53" s="32"/>
      <c r="G53" s="32"/>
      <c r="H53" s="32"/>
      <c r="I53" s="32"/>
      <c r="J53" s="32"/>
      <c r="K53" s="32"/>
      <c r="L53" s="32"/>
      <c r="M53" s="32"/>
      <c r="N53" s="32"/>
      <c r="O53" s="32"/>
      <c r="P53" s="32"/>
      <c r="Q53" s="32"/>
      <c r="R53" s="32"/>
      <c r="S53" s="32"/>
      <c r="T53" s="32"/>
      <c r="U53" s="32"/>
      <c r="V53" s="32"/>
      <c r="W53" s="32"/>
      <c r="X53" s="32"/>
      <c r="Y53" s="32"/>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C54" s="7" t="s">
        <v>70</v>
      </c>
      <c r="E54" s="32">
        <f ca="1">SUM(E49:E52)</f>
        <v>414098.769856659</v>
      </c>
      <c r="F54" s="32">
        <f t="shared" ref="F54:X54" ca="1" si="22">SUM(F49:F52)</f>
        <v>419915.1628242014</v>
      </c>
      <c r="G54" s="32">
        <f t="shared" ca="1" si="22"/>
        <v>425149.03138889384</v>
      </c>
      <c r="H54" s="32">
        <f t="shared" ca="1" si="22"/>
        <v>429801.75722928171</v>
      </c>
      <c r="I54" s="32">
        <f t="shared" ca="1" si="22"/>
        <v>433943.89611794922</v>
      </c>
      <c r="J54" s="32">
        <f t="shared" ca="1" si="22"/>
        <v>393826.06714814011</v>
      </c>
      <c r="K54" s="32">
        <f t="shared" ca="1" si="22"/>
        <v>317341.62163563992</v>
      </c>
      <c r="L54" s="32">
        <f t="shared" ca="1" si="22"/>
        <v>255523.18425719408</v>
      </c>
      <c r="M54" s="32">
        <f t="shared" ca="1" si="22"/>
        <v>205666.40534257903</v>
      </c>
      <c r="N54" s="32">
        <f t="shared" ca="1" si="22"/>
        <v>165481.47140747952</v>
      </c>
      <c r="O54" s="32">
        <f t="shared" ca="1" si="22"/>
        <v>133134.4504236239</v>
      </c>
      <c r="P54" s="32">
        <f t="shared" ca="1" si="22"/>
        <v>107091.7099545638</v>
      </c>
      <c r="Q54" s="32">
        <f t="shared" ca="1" si="22"/>
        <v>86121.995569611943</v>
      </c>
      <c r="R54" s="32">
        <f t="shared" ca="1" si="22"/>
        <v>69238.915174652284</v>
      </c>
      <c r="S54" s="32">
        <f t="shared" ca="1" si="22"/>
        <v>55658.640208759025</v>
      </c>
      <c r="T54" s="32">
        <f t="shared" ca="1" si="22"/>
        <v>44739.602627107044</v>
      </c>
      <c r="U54" s="32">
        <f t="shared" ca="1" si="22"/>
        <v>306.57488075860454</v>
      </c>
      <c r="V54" s="32">
        <f t="shared" ca="1" si="22"/>
        <v>109.97644870260268</v>
      </c>
      <c r="W54" s="32">
        <f t="shared" ca="1" si="22"/>
        <v>37.656530829586686</v>
      </c>
      <c r="X54" s="32">
        <f t="shared" ca="1" si="22"/>
        <v>12.33287712830111</v>
      </c>
      <c r="Y54" s="32"/>
      <c r="AA54" s="32">
        <f t="shared" ref="AA54" ca="1" si="23">SUM(E54:Y54)</f>
        <v>3957199.2219037553</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1:80">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80">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80" ht="15">
      <c r="A58" s="53" t="s">
        <v>71</v>
      </c>
      <c r="C58" s="62" t="str">
        <f>C8</f>
        <v>Showerheads</v>
      </c>
      <c r="D58" s="62"/>
      <c r="E58" s="7" t="s">
        <v>361</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62" t="s">
        <v>72</v>
      </c>
      <c r="B59" s="62" t="s">
        <v>24</v>
      </c>
      <c r="C59" s="62">
        <v>1</v>
      </c>
      <c r="D59" s="62"/>
      <c r="E59" s="56">
        <f t="shared" ref="E59:X59" si="24">E11</f>
        <v>2016</v>
      </c>
      <c r="F59" s="57">
        <f t="shared" si="24"/>
        <v>2017</v>
      </c>
      <c r="G59" s="57">
        <f t="shared" si="24"/>
        <v>2018</v>
      </c>
      <c r="H59" s="57">
        <f t="shared" si="24"/>
        <v>2019</v>
      </c>
      <c r="I59" s="57">
        <f t="shared" si="24"/>
        <v>2020</v>
      </c>
      <c r="J59" s="57">
        <f t="shared" si="24"/>
        <v>2021</v>
      </c>
      <c r="K59" s="57">
        <f t="shared" si="24"/>
        <v>2022</v>
      </c>
      <c r="L59" s="57">
        <f t="shared" si="24"/>
        <v>2023</v>
      </c>
      <c r="M59" s="57">
        <f t="shared" si="24"/>
        <v>2024</v>
      </c>
      <c r="N59" s="57">
        <f t="shared" si="24"/>
        <v>2025</v>
      </c>
      <c r="O59" s="57">
        <f t="shared" si="24"/>
        <v>2026</v>
      </c>
      <c r="P59" s="57">
        <f t="shared" si="24"/>
        <v>2027</v>
      </c>
      <c r="Q59" s="57">
        <f t="shared" si="24"/>
        <v>2028</v>
      </c>
      <c r="R59" s="57">
        <f t="shared" si="24"/>
        <v>2029</v>
      </c>
      <c r="S59" s="57">
        <f t="shared" si="24"/>
        <v>2030</v>
      </c>
      <c r="T59" s="57">
        <f t="shared" si="24"/>
        <v>2031</v>
      </c>
      <c r="U59" s="57">
        <f t="shared" si="24"/>
        <v>2032</v>
      </c>
      <c r="V59" s="57">
        <f t="shared" si="24"/>
        <v>2033</v>
      </c>
      <c r="W59" s="57">
        <f t="shared" si="24"/>
        <v>2034</v>
      </c>
      <c r="X59" s="57">
        <f t="shared" si="24"/>
        <v>2035</v>
      </c>
      <c r="Y59" s="299" t="s">
        <v>68</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62" t="s">
        <v>46</v>
      </c>
      <c r="B60" s="62" t="s">
        <v>73</v>
      </c>
      <c r="C60" s="62" t="s">
        <v>74</v>
      </c>
      <c r="D60" s="62" t="s">
        <v>75</v>
      </c>
      <c r="E60" s="59" t="str">
        <f>CONCATENATE("aMW_",E$11)</f>
        <v>aMW_2016</v>
      </c>
      <c r="F60" s="60" t="str">
        <f t="shared" ref="F60:X60" si="25">CONCATENATE("aMW_",F$11)</f>
        <v>aMW_2017</v>
      </c>
      <c r="G60" s="60" t="str">
        <f t="shared" si="25"/>
        <v>aMW_2018</v>
      </c>
      <c r="H60" s="60" t="str">
        <f t="shared" si="25"/>
        <v>aMW_2019</v>
      </c>
      <c r="I60" s="60" t="str">
        <f t="shared" si="25"/>
        <v>aMW_2020</v>
      </c>
      <c r="J60" s="60" t="str">
        <f t="shared" si="25"/>
        <v>aMW_2021</v>
      </c>
      <c r="K60" s="60" t="str">
        <f t="shared" si="25"/>
        <v>aMW_2022</v>
      </c>
      <c r="L60" s="60" t="str">
        <f t="shared" si="25"/>
        <v>aMW_2023</v>
      </c>
      <c r="M60" s="60" t="str">
        <f t="shared" si="25"/>
        <v>aMW_2024</v>
      </c>
      <c r="N60" s="60" t="str">
        <f t="shared" si="25"/>
        <v>aMW_2025</v>
      </c>
      <c r="O60" s="60" t="str">
        <f t="shared" si="25"/>
        <v>aMW_2026</v>
      </c>
      <c r="P60" s="60" t="str">
        <f t="shared" si="25"/>
        <v>aMW_2027</v>
      </c>
      <c r="Q60" s="60" t="str">
        <f t="shared" si="25"/>
        <v>aMW_2028</v>
      </c>
      <c r="R60" s="60" t="str">
        <f t="shared" si="25"/>
        <v>aMW_2029</v>
      </c>
      <c r="S60" s="60" t="str">
        <f t="shared" si="25"/>
        <v>aMW_2030</v>
      </c>
      <c r="T60" s="60" t="str">
        <f t="shared" si="25"/>
        <v>aMW_2031</v>
      </c>
      <c r="U60" s="60" t="str">
        <f t="shared" si="25"/>
        <v>aMW_2032</v>
      </c>
      <c r="V60" s="60" t="str">
        <f t="shared" si="25"/>
        <v>aMW_2033</v>
      </c>
      <c r="W60" s="60" t="str">
        <f t="shared" si="25"/>
        <v>aMW_2034</v>
      </c>
      <c r="X60" s="60" t="str">
        <f t="shared" si="25"/>
        <v>aMW_2035</v>
      </c>
      <c r="Y60" s="300" t="s">
        <v>68</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67">
        <f t="shared" ref="A61:A74" si="26">VLOOKUP($D61,MeasureOutput,3,FALSE)</f>
        <v>94.936534263098281</v>
      </c>
      <c r="B61" s="67">
        <f t="shared" ref="B61:B74" si="27">VLOOKUP($D61,MeasureOutput,11,FALSE)</f>
        <v>-212.78769031163665</v>
      </c>
      <c r="C61" s="7" t="str">
        <f>C13</f>
        <v>Single Family</v>
      </c>
      <c r="D61" s="7" t="s">
        <v>617</v>
      </c>
      <c r="E61" s="45">
        <f ca="1">VLOOKUP($C61,$C$49:$Y$52,E$30,FALSE)*$C$59*$A61/8760/1000*IF(LEFT($C61,5)&lt;&gt;"Multi",VLOOKUP(RIGHT($D61,4),'Units Per Home'!$A$11:$B$12,2,FALSE),1)</f>
        <v>2.9312615190155062</v>
      </c>
      <c r="F61" s="45">
        <f ca="1">VLOOKUP($C61,$C$49:$Y$52,F$30,FALSE)*$C$59*$A61/8760/1000*IF(LEFT($C61,5)&lt;&gt;"Multi",VLOOKUP(RIGHT($D61,4),'Units Per Home'!$A$11:$B$12,2,FALSE),1)</f>
        <v>2.973136462518831</v>
      </c>
      <c r="G61" s="45">
        <f ca="1">VLOOKUP($C61,$C$49:$Y$52,G$30,FALSE)*$C$59*$A61/8760/1000*IF(LEFT($C61,5)&lt;&gt;"Multi",VLOOKUP(RIGHT($D61,4),'Units Per Home'!$A$11:$B$12,2,FALSE),1)</f>
        <v>3.0105784518144554</v>
      </c>
      <c r="H61" s="45">
        <f ca="1">VLOOKUP($C61,$C$49:$Y$52,H$30,FALSE)*$C$59*$A61/8760/1000*IF(LEFT($C61,5)&lt;&gt;"Multi",VLOOKUP(RIGHT($D61,4),'Units Per Home'!$A$11:$B$12,2,FALSE),1)</f>
        <v>3.0435188732812808</v>
      </c>
      <c r="I61" s="45">
        <f ca="1">VLOOKUP($C61,$C$49:$Y$52,I$30,FALSE)*$C$59*$A61/8760/1000*IF(LEFT($C61,5)&lt;&gt;"Multi",VLOOKUP(RIGHT($D61,4),'Units Per Home'!$A$11:$B$12,2,FALSE),1)</f>
        <v>3.0730422088658846</v>
      </c>
      <c r="J61" s="45">
        <f ca="1">VLOOKUP($C61,$C$49:$Y$52,J$30,FALSE)*$C$59*$A61/8760/1000*IF(LEFT($C61,5)&lt;&gt;"Multi",VLOOKUP(RIGHT($D61,4),'Units Per Home'!$A$11:$B$12,2,FALSE),1)</f>
        <v>2.7895698630055805</v>
      </c>
      <c r="K61" s="45">
        <f ca="1">VLOOKUP($C61,$C$49:$Y$52,K$30,FALSE)*$C$59*$A61/8760/1000*IF(LEFT($C61,5)&lt;&gt;"Multi",VLOOKUP(RIGHT($D61,4),'Units Per Home'!$A$11:$B$12,2,FALSE),1)</f>
        <v>2.2483193993544286</v>
      </c>
      <c r="L61" s="45">
        <f ca="1">VLOOKUP($C61,$C$49:$Y$52,L$30,FALSE)*$C$59*$A61/8760/1000*IF(LEFT($C61,5)&lt;&gt;"Multi",VLOOKUP(RIGHT($D61,4),'Units Per Home'!$A$11:$B$12,2,FALSE),1)</f>
        <v>1.8107160820538606</v>
      </c>
      <c r="M61" s="45">
        <f ca="1">VLOOKUP($C61,$C$49:$Y$52,M$30,FALSE)*$C$59*$A61/8760/1000*IF(LEFT($C61,5)&lt;&gt;"Multi",VLOOKUP(RIGHT($D61,4),'Units Per Home'!$A$11:$B$12,2,FALSE),1)</f>
        <v>1.4576568184473804</v>
      </c>
      <c r="N61" s="45">
        <f ca="1">VLOOKUP($C61,$C$49:$Y$52,N$30,FALSE)*$C$59*$A61/8760/1000*IF(LEFT($C61,5)&lt;&gt;"Multi",VLOOKUP(RIGHT($D61,4),'Units Per Home'!$A$11:$B$12,2,FALSE),1)</f>
        <v>1.1729747448499541</v>
      </c>
      <c r="O61" s="45">
        <f ca="1">VLOOKUP($C61,$C$49:$Y$52,O$30,FALSE)*$C$59*$A61/8760/1000*IF(LEFT($C61,5)&lt;&gt;"Multi",VLOOKUP(RIGHT($D61,4),'Units Per Home'!$A$11:$B$12,2,FALSE),1)</f>
        <v>0.94378451914747052</v>
      </c>
      <c r="P61" s="45">
        <f ca="1">VLOOKUP($C61,$C$49:$Y$52,P$30,FALSE)*$C$59*$A61/8760/1000*IF(LEFT($C61,5)&lt;&gt;"Multi",VLOOKUP(RIGHT($D61,4),'Units Per Home'!$A$11:$B$12,2,FALSE),1)</f>
        <v>0.75926002033318296</v>
      </c>
      <c r="Q61" s="45">
        <f ca="1">VLOOKUP($C61,$C$49:$Y$52,Q$30,FALSE)*$C$59*$A61/8760/1000*IF(LEFT($C61,5)&lt;&gt;"Multi",VLOOKUP(RIGHT($D61,4),'Units Per Home'!$A$11:$B$12,2,FALSE),1)</f>
        <v>0.61065169137265607</v>
      </c>
      <c r="R61" s="45">
        <f ca="1">VLOOKUP($C61,$C$49:$Y$52,R$30,FALSE)*$C$59*$A61/8760/1000*IF(LEFT($C61,5)&lt;&gt;"Multi",VLOOKUP(RIGHT($D61,4),'Units Per Home'!$A$11:$B$12,2,FALSE),1)</f>
        <v>0.49097034875614787</v>
      </c>
      <c r="S61" s="45">
        <f ca="1">VLOOKUP($C61,$C$49:$Y$52,S$30,FALSE)*$C$59*$A61/8760/1000*IF(LEFT($C61,5)&lt;&gt;"Multi",VLOOKUP(RIGHT($D61,4),'Units Per Home'!$A$11:$B$12,2,FALSE),1)</f>
        <v>0.3947058405524399</v>
      </c>
      <c r="T61" s="45">
        <f ca="1">VLOOKUP($C61,$C$49:$Y$52,T$30,FALSE)*$C$59*$A61/8760/1000*IF(LEFT($C61,5)&lt;&gt;"Multi",VLOOKUP(RIGHT($D61,4),'Units Per Home'!$A$11:$B$12,2,FALSE),1)</f>
        <v>0.31731286238426781</v>
      </c>
      <c r="U61" s="45">
        <f ca="1">VLOOKUP($C61,$C$49:$Y$52,U$30,FALSE)*$C$59*$A61/8760/1000*IF(LEFT($C61,5)&lt;&gt;"Multi",VLOOKUP(RIGHT($D61,4),'Units Per Home'!$A$11:$B$12,2,FALSE),1)</f>
        <v>2.17470287683145E-3</v>
      </c>
      <c r="V61" s="45">
        <f ca="1">VLOOKUP($C61,$C$49:$Y$52,V$30,FALSE)*$C$59*$A61/8760/1000*IF(LEFT($C61,5)&lt;&gt;"Multi",VLOOKUP(RIGHT($D61,4),'Units Per Home'!$A$11:$B$12,2,FALSE),1)</f>
        <v>7.8021918099996054E-4</v>
      </c>
      <c r="W61" s="45">
        <f ca="1">VLOOKUP($C61,$C$49:$Y$52,W$30,FALSE)*$C$59*$A61/8760/1000*IF(LEFT($C61,5)&lt;&gt;"Multi",VLOOKUP(RIGHT($D61,4),'Units Per Home'!$A$11:$B$12,2,FALSE),1)</f>
        <v>2.6718867618346503E-4</v>
      </c>
      <c r="X61" s="45">
        <f ca="1">VLOOKUP($C61,$C$49:$Y$52,X$30,FALSE)*$C$59*$A61/8760/1000*IF(LEFT($C61,5)&lt;&gt;"Multi",VLOOKUP(RIGHT($D61,4),'Units Per Home'!$A$11:$B$12,2,FALSE),1)</f>
        <v>8.7521432899654428E-5</v>
      </c>
      <c r="Y61" s="26">
        <f ca="1">(VLOOKUP($C61,$C$40:$AA$43,$X$39+3,FALSE)+VLOOKUP($C61,$C$31:$AA$34,$X$30+3,FALSE))*$A61/8760/1000*IF(LEFT($C61,5)&lt;&gt;"Multi",VLOOKUP(RIGHT($D61,4),'Units Per Home'!$A$11:$B$12,2,FALSE),1)</f>
        <v>30.577952664361511</v>
      </c>
      <c r="AA61" s="26">
        <f ca="1">SUM(E61:X61)</f>
        <v>28.030769337920244</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67">
        <f t="shared" si="26"/>
        <v>114.9679001881766</v>
      </c>
      <c r="B62" s="67">
        <f t="shared" si="27"/>
        <v>-109.97334429276586</v>
      </c>
      <c r="C62" s="7" t="str">
        <f t="shared" ref="C62:C64" si="28">C14</f>
        <v>Multifamily - Low Rise</v>
      </c>
      <c r="D62" s="7" t="s">
        <v>618</v>
      </c>
      <c r="E62" s="45">
        <f ca="1">VLOOKUP($C62,$C$49:$Y$52,E$30,FALSE)*$C$59*$A62/8760/1000*IF(LEFT($C62,5)&lt;&gt;"Multi",VLOOKUP(RIGHT($D62,4),'Units Per Home'!$A$11:$B$12,2,FALSE),1)</f>
        <v>0.82235572097992948</v>
      </c>
      <c r="F62" s="45">
        <f ca="1">VLOOKUP($C62,$C$49:$Y$52,F$30,FALSE)*$C$59*$A62/8760/1000*IF(LEFT($C62,5)&lt;&gt;"Multi",VLOOKUP(RIGHT($D62,4),'Units Per Home'!$A$11:$B$12,2,FALSE),1)</f>
        <v>0.84004300300724577</v>
      </c>
      <c r="G62" s="45">
        <f ca="1">VLOOKUP($C62,$C$49:$Y$52,G$30,FALSE)*$C$59*$A62/8760/1000*IF(LEFT($C62,5)&lt;&gt;"Multi",VLOOKUP(RIGHT($D62,4),'Units Per Home'!$A$11:$B$12,2,FALSE),1)</f>
        <v>0.8564117425556339</v>
      </c>
      <c r="H62" s="45">
        <f ca="1">VLOOKUP($C62,$C$49:$Y$52,H$30,FALSE)*$C$59*$A62/8760/1000*IF(LEFT($C62,5)&lt;&gt;"Multi",VLOOKUP(RIGHT($D62,4),'Units Per Home'!$A$11:$B$12,2,FALSE),1)</f>
        <v>0.87152961414753038</v>
      </c>
      <c r="I62" s="45">
        <f ca="1">VLOOKUP($C62,$C$49:$Y$52,I$30,FALSE)*$C$59*$A62/8760/1000*IF(LEFT($C62,5)&lt;&gt;"Multi",VLOOKUP(RIGHT($D62,4),'Units Per Home'!$A$11:$B$12,2,FALSE),1)</f>
        <v>0.88505429651156453</v>
      </c>
      <c r="J62" s="45">
        <f ca="1">VLOOKUP($C62,$C$49:$Y$52,J$30,FALSE)*$C$59*$A62/8760/1000*IF(LEFT($C62,5)&lt;&gt;"Multi",VLOOKUP(RIGHT($D62,4),'Units Per Home'!$A$11:$B$12,2,FALSE),1)</f>
        <v>0.80703319683095065</v>
      </c>
      <c r="K62" s="45">
        <f ca="1">VLOOKUP($C62,$C$49:$Y$52,K$30,FALSE)*$C$59*$A62/8760/1000*IF(LEFT($C62,5)&lt;&gt;"Multi",VLOOKUP(RIGHT($D62,4),'Units Per Home'!$A$11:$B$12,2,FALSE),1)</f>
        <v>0.65304538033244997</v>
      </c>
      <c r="L62" s="45">
        <f ca="1">VLOOKUP($C62,$C$49:$Y$52,L$30,FALSE)*$C$59*$A62/8760/1000*IF(LEFT($C62,5)&lt;&gt;"Multi",VLOOKUP(RIGHT($D62,4),'Units Per Home'!$A$11:$B$12,2,FALSE),1)</f>
        <v>0.52791530008451248</v>
      </c>
      <c r="M62" s="45">
        <f ca="1">VLOOKUP($C62,$C$49:$Y$52,M$30,FALSE)*$C$59*$A62/8760/1000*IF(LEFT($C62,5)&lt;&gt;"Multi",VLOOKUP(RIGHT($D62,4),'Units Per Home'!$A$11:$B$12,2,FALSE),1)</f>
        <v>0.42655723064897744</v>
      </c>
      <c r="N62" s="45">
        <f ca="1">VLOOKUP($C62,$C$49:$Y$52,N$30,FALSE)*$C$59*$A62/8760/1000*IF(LEFT($C62,5)&lt;&gt;"Multi",VLOOKUP(RIGHT($D62,4),'Units Per Home'!$A$11:$B$12,2,FALSE),1)</f>
        <v>0.34455727073471354</v>
      </c>
      <c r="O62" s="45">
        <f ca="1">VLOOKUP($C62,$C$49:$Y$52,O$30,FALSE)*$C$59*$A62/8760/1000*IF(LEFT($C62,5)&lt;&gt;"Multi",VLOOKUP(RIGHT($D62,4),'Units Per Home'!$A$11:$B$12,2,FALSE),1)</f>
        <v>0.27827199905873679</v>
      </c>
      <c r="P62" s="45">
        <f ca="1">VLOOKUP($C62,$C$49:$Y$52,P$30,FALSE)*$C$59*$A62/8760/1000*IF(LEFT($C62,5)&lt;&gt;"Multi",VLOOKUP(RIGHT($D62,4),'Units Per Home'!$A$11:$B$12,2,FALSE),1)</f>
        <v>0.22465880078547196</v>
      </c>
      <c r="Q62" s="45">
        <f ca="1">VLOOKUP($C62,$C$49:$Y$52,Q$30,FALSE)*$C$59*$A62/8760/1000*IF(LEFT($C62,5)&lt;&gt;"Multi",VLOOKUP(RIGHT($D62,4),'Units Per Home'!$A$11:$B$12,2,FALSE),1)</f>
        <v>0.18131568418861388</v>
      </c>
      <c r="R62" s="45">
        <f ca="1">VLOOKUP($C62,$C$49:$Y$52,R$30,FALSE)*$C$59*$A62/8760/1000*IF(LEFT($C62,5)&lt;&gt;"Multi",VLOOKUP(RIGHT($D62,4),'Units Per Home'!$A$11:$B$12,2,FALSE),1)</f>
        <v>0.14629730099948146</v>
      </c>
      <c r="S62" s="45">
        <f ca="1">VLOOKUP($C62,$C$49:$Y$52,S$30,FALSE)*$C$59*$A62/8760/1000*IF(LEFT($C62,5)&lt;&gt;"Multi",VLOOKUP(RIGHT($D62,4),'Units Per Home'!$A$11:$B$12,2,FALSE),1)</f>
        <v>0.11800238849103824</v>
      </c>
      <c r="T62" s="45">
        <f ca="1">VLOOKUP($C62,$C$49:$Y$52,T$30,FALSE)*$C$59*$A62/8760/1000*IF(LEFT($C62,5)&lt;&gt;"Multi",VLOOKUP(RIGHT($D62,4),'Units Per Home'!$A$11:$B$12,2,FALSE),1)</f>
        <v>9.5150822302404778E-2</v>
      </c>
      <c r="U62" s="45">
        <f ca="1">VLOOKUP($C62,$C$49:$Y$52,U$30,FALSE)*$C$59*$A62/8760/1000*IF(LEFT($C62,5)&lt;&gt;"Multi",VLOOKUP(RIGHT($D62,4),'Units Per Home'!$A$11:$B$12,2,FALSE),1)</f>
        <v>6.5392092416215707E-4</v>
      </c>
      <c r="V62" s="45">
        <f ca="1">VLOOKUP($C62,$C$49:$Y$52,V$30,FALSE)*$C$59*$A62/8760/1000*IF(LEFT($C62,5)&lt;&gt;"Multi",VLOOKUP(RIGHT($D62,4),'Units Per Home'!$A$11:$B$12,2,FALSE),1)</f>
        <v>2.3526371805663275E-4</v>
      </c>
      <c r="W62" s="45">
        <f ca="1">VLOOKUP($C62,$C$49:$Y$52,W$30,FALSE)*$C$59*$A62/8760/1000*IF(LEFT($C62,5)&lt;&gt;"Multi",VLOOKUP(RIGHT($D62,4),'Units Per Home'!$A$11:$B$12,2,FALSE),1)</f>
        <v>8.0781126798957128E-5</v>
      </c>
      <c r="X62" s="45">
        <f ca="1">VLOOKUP($C62,$C$49:$Y$52,X$30,FALSE)*$C$59*$A62/8760/1000*IF(LEFT($C62,5)&lt;&gt;"Multi",VLOOKUP(RIGHT($D62,4),'Units Per Home'!$A$11:$B$12,2,FALSE),1)</f>
        <v>2.6525588463918952E-5</v>
      </c>
      <c r="Y62" s="26">
        <f ca="1">(VLOOKUP($C62,$C$40:$AA$43,$X$39+3,FALSE)+VLOOKUP($C62,$C$31:$AA$34,$X$30+3,FALSE))*$A62/8760/1000*IF(LEFT($C62,5)&lt;&gt;"Multi",VLOOKUP(RIGHT($D62,4),'Units Per Home'!$A$11:$B$12,2,FALSE),1)</f>
        <v>9.2674235506860612</v>
      </c>
      <c r="AA62" s="26">
        <f t="shared" ref="AA62:AA72" ca="1" si="29">SUM(E62:X62)</f>
        <v>8.0791962430167352</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67">
        <f t="shared" si="26"/>
        <v>114.9679001881766</v>
      </c>
      <c r="B63" s="67">
        <f t="shared" si="27"/>
        <v>-109.97334429276586</v>
      </c>
      <c r="C63" s="7" t="str">
        <f t="shared" si="28"/>
        <v>Multifamily - High Rise</v>
      </c>
      <c r="D63" s="7" t="s">
        <v>618</v>
      </c>
      <c r="E63" s="45">
        <f ca="1">VLOOKUP($C63,$C$49:$Y$52,E$30,FALSE)*$C$59*$A63/8760/1000*IF(LEFT($C63,5)&lt;&gt;"Multi",VLOOKUP(RIGHT($D63,4),'Units Per Home'!$A$11:$B$12,2,FALSE),1)</f>
        <v>0.18749410123578128</v>
      </c>
      <c r="F63" s="45">
        <f ca="1">VLOOKUP($C63,$C$49:$Y$52,F$30,FALSE)*$C$59*$A63/8760/1000*IF(LEFT($C63,5)&lt;&gt;"Multi",VLOOKUP(RIGHT($D63,4),'Units Per Home'!$A$11:$B$12,2,FALSE),1)</f>
        <v>0.19145819959348959</v>
      </c>
      <c r="G63" s="45">
        <f ca="1">VLOOKUP($C63,$C$49:$Y$52,G$30,FALSE)*$C$59*$A63/8760/1000*IF(LEFT($C63,5)&lt;&gt;"Multi",VLOOKUP(RIGHT($D63,4),'Units Per Home'!$A$11:$B$12,2,FALSE),1)</f>
        <v>0.195183927859923</v>
      </c>
      <c r="H63" s="45">
        <f ca="1">VLOOKUP($C63,$C$49:$Y$52,H$30,FALSE)*$C$59*$A63/8760/1000*IF(LEFT($C63,5)&lt;&gt;"Multi",VLOOKUP(RIGHT($D63,4),'Units Per Home'!$A$11:$B$12,2,FALSE),1)</f>
        <v>0.19868306432204089</v>
      </c>
      <c r="I63" s="45">
        <f ca="1">VLOOKUP($C63,$C$49:$Y$52,I$30,FALSE)*$C$59*$A63/8760/1000*IF(LEFT($C63,5)&lt;&gt;"Multi",VLOOKUP(RIGHT($D63,4),'Units Per Home'!$A$11:$B$12,2,FALSE),1)</f>
        <v>0.20173208659836406</v>
      </c>
      <c r="J63" s="45">
        <f ca="1">VLOOKUP($C63,$C$49:$Y$52,J$30,FALSE)*$C$59*$A63/8760/1000*IF(LEFT($C63,5)&lt;&gt;"Multi",VLOOKUP(RIGHT($D63,4),'Units Per Home'!$A$11:$B$12,2,FALSE),1)</f>
        <v>0.18386884151110128</v>
      </c>
      <c r="K63" s="45">
        <f ca="1">VLOOKUP($C63,$C$49:$Y$52,K$30,FALSE)*$C$59*$A63/8760/1000*IF(LEFT($C63,5)&lt;&gt;"Multi",VLOOKUP(RIGHT($D63,4),'Units Per Home'!$A$11:$B$12,2,FALSE),1)</f>
        <v>0.14875763352274141</v>
      </c>
      <c r="L63" s="45">
        <f ca="1">VLOOKUP($C63,$C$49:$Y$52,L$30,FALSE)*$C$59*$A63/8760/1000*IF(LEFT($C63,5)&lt;&gt;"Multi",VLOOKUP(RIGHT($D63,4),'Units Per Home'!$A$11:$B$12,2,FALSE),1)</f>
        <v>0.12023800294306593</v>
      </c>
      <c r="M63" s="45">
        <f ca="1">VLOOKUP($C63,$C$49:$Y$52,M$30,FALSE)*$C$59*$A63/8760/1000*IF(LEFT($C63,5)&lt;&gt;"Multi",VLOOKUP(RIGHT($D63,4),'Units Per Home'!$A$11:$B$12,2,FALSE),1)</f>
        <v>9.715448002799898E-2</v>
      </c>
      <c r="N63" s="45">
        <f ca="1">VLOOKUP($C63,$C$49:$Y$52,N$30,FALSE)*$C$59*$A63/8760/1000*IF(LEFT($C63,5)&lt;&gt;"Multi",VLOOKUP(RIGHT($D63,4),'Units Per Home'!$A$11:$B$12,2,FALSE),1)</f>
        <v>7.8472820116270034E-2</v>
      </c>
      <c r="O63" s="45">
        <f ca="1">VLOOKUP($C63,$C$49:$Y$52,O$30,FALSE)*$C$59*$A63/8760/1000*IF(LEFT($C63,5)&lt;&gt;"Multi",VLOOKUP(RIGHT($D63,4),'Units Per Home'!$A$11:$B$12,2,FALSE),1)</f>
        <v>6.3372359605044976E-2</v>
      </c>
      <c r="P63" s="45">
        <f ca="1">VLOOKUP($C63,$C$49:$Y$52,P$30,FALSE)*$C$59*$A63/8760/1000*IF(LEFT($C63,5)&lt;&gt;"Multi",VLOOKUP(RIGHT($D63,4),'Units Per Home'!$A$11:$B$12,2,FALSE),1)</f>
        <v>5.115289779193323E-2</v>
      </c>
      <c r="Q63" s="45">
        <f ca="1">VLOOKUP($C63,$C$49:$Y$52,Q$30,FALSE)*$C$59*$A63/8760/1000*IF(LEFT($C63,5)&lt;&gt;"Multi",VLOOKUP(RIGHT($D63,4),'Units Per Home'!$A$11:$B$12,2,FALSE),1)</f>
        <v>4.1275574708530875E-2</v>
      </c>
      <c r="R63" s="45">
        <f ca="1">VLOOKUP($C63,$C$49:$Y$52,R$30,FALSE)*$C$59*$A63/8760/1000*IF(LEFT($C63,5)&lt;&gt;"Multi",VLOOKUP(RIGHT($D63,4),'Units Per Home'!$A$11:$B$12,2,FALSE),1)</f>
        <v>3.3294297195044606E-2</v>
      </c>
      <c r="S63" s="45">
        <f ca="1">VLOOKUP($C63,$C$49:$Y$52,S$30,FALSE)*$C$59*$A63/8760/1000*IF(LEFT($C63,5)&lt;&gt;"Multi",VLOOKUP(RIGHT($D63,4),'Units Per Home'!$A$11:$B$12,2,FALSE),1)</f>
        <v>2.6849643135031208E-2</v>
      </c>
      <c r="T63" s="45">
        <f ca="1">VLOOKUP($C63,$C$49:$Y$52,T$30,FALSE)*$C$59*$A63/8760/1000*IF(LEFT($C63,5)&lt;&gt;"Multi",VLOOKUP(RIGHT($D63,4),'Units Per Home'!$A$11:$B$12,2,FALSE),1)</f>
        <v>2.1646990800288108E-2</v>
      </c>
      <c r="U63" s="45">
        <f ca="1">VLOOKUP($C63,$C$49:$Y$52,U$30,FALSE)*$C$59*$A63/8760/1000*IF(LEFT($C63,5)&lt;&gt;"Multi",VLOOKUP(RIGHT($D63,4),'Units Per Home'!$A$11:$B$12,2,FALSE),1)</f>
        <v>1.487467336843911E-4</v>
      </c>
      <c r="V63" s="45">
        <f ca="1">VLOOKUP($C63,$C$49:$Y$52,V$30,FALSE)*$C$59*$A63/8760/1000*IF(LEFT($C63,5)&lt;&gt;"Multi",VLOOKUP(RIGHT($D63,4),'Units Per Home'!$A$11:$B$12,2,FALSE),1)</f>
        <v>5.3508282042999317E-5</v>
      </c>
      <c r="W63" s="45">
        <f ca="1">VLOOKUP($C63,$C$49:$Y$52,W$30,FALSE)*$C$59*$A63/8760/1000*IF(LEFT($C63,5)&lt;&gt;"Multi",VLOOKUP(RIGHT($D63,4),'Units Per Home'!$A$11:$B$12,2,FALSE),1)</f>
        <v>1.8368815131682544E-5</v>
      </c>
      <c r="X63" s="45">
        <f ca="1">VLOOKUP($C63,$C$49:$Y$52,X$30,FALSE)*$C$59*$A63/8760/1000*IF(LEFT($C63,5)&lt;&gt;"Multi",VLOOKUP(RIGHT($D63,4),'Units Per Home'!$A$11:$B$12,2,FALSE),1)</f>
        <v>6.0311844203348742E-6</v>
      </c>
      <c r="Y63" s="26">
        <f ca="1">(VLOOKUP($C63,$C$40:$AA$43,$X$39+3,FALSE)+VLOOKUP($C63,$C$31:$AA$34,$X$30+3,FALSE))*$A63/8760/1000*IF(LEFT($C63,5)&lt;&gt;"Multi",VLOOKUP(RIGHT($D63,4),'Units Per Home'!$A$11:$B$12,2,FALSE),1)</f>
        <v>2.1071555344218149</v>
      </c>
      <c r="AA63" s="26">
        <f t="shared" ca="1" si="29"/>
        <v>1.8408615759819289</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67">
        <f t="shared" si="26"/>
        <v>141.19769879304073</v>
      </c>
      <c r="B64" s="67">
        <f t="shared" si="27"/>
        <v>-126.69575479929152</v>
      </c>
      <c r="C64" s="7" t="str">
        <f t="shared" si="28"/>
        <v>Manufactured</v>
      </c>
      <c r="D64" s="7" t="s">
        <v>619</v>
      </c>
      <c r="E64" s="45">
        <f ca="1">VLOOKUP($C64,$C$49:$Y$52,E$30,FALSE)*$C$59*$A64/8760/1000*IF(LEFT($C64,5)&lt;&gt;"Multi",VLOOKUP(RIGHT($D64,4),'Units Per Home'!$A$11:$B$12,2,FALSE),1)</f>
        <v>0.42263968467253338</v>
      </c>
      <c r="F64" s="45">
        <f ca="1">VLOOKUP($C64,$C$49:$Y$52,F$30,FALSE)*$C$59*$A64/8760/1000*IF(LEFT($C64,5)&lt;&gt;"Multi",VLOOKUP(RIGHT($D64,4),'Units Per Home'!$A$11:$B$12,2,FALSE),1)</f>
        <v>0.41946065340992617</v>
      </c>
      <c r="G64" s="45">
        <f ca="1">VLOOKUP($C64,$C$49:$Y$52,G$30,FALSE)*$C$59*$A64/8760/1000*IF(LEFT($C64,5)&lt;&gt;"Multi",VLOOKUP(RIGHT($D64,4),'Units Per Home'!$A$11:$B$12,2,FALSE),1)</f>
        <v>0.41629468705612999</v>
      </c>
      <c r="H64" s="45">
        <f ca="1">VLOOKUP($C64,$C$49:$Y$52,H$30,FALSE)*$C$59*$A64/8760/1000*IF(LEFT($C64,5)&lt;&gt;"Multi",VLOOKUP(RIGHT($D64,4),'Units Per Home'!$A$11:$B$12,2,FALSE),1)</f>
        <v>0.413177561402997</v>
      </c>
      <c r="I64" s="45">
        <f ca="1">VLOOKUP($C64,$C$49:$Y$52,I$30,FALSE)*$C$59*$A64/8760/1000*IF(LEFT($C64,5)&lt;&gt;"Multi",VLOOKUP(RIGHT($D64,4),'Units Per Home'!$A$11:$B$12,2,FALSE),1)</f>
        <v>0.41010867023887909</v>
      </c>
      <c r="J64" s="45">
        <f ca="1">VLOOKUP($C64,$C$49:$Y$52,J$30,FALSE)*$C$59*$A64/8760/1000*IF(LEFT($C64,5)&lt;&gt;"Multi",VLOOKUP(RIGHT($D64,4),'Units Per Home'!$A$11:$B$12,2,FALSE),1)</f>
        <v>0.366300842080311</v>
      </c>
      <c r="K64" s="45">
        <f ca="1">VLOOKUP($C64,$C$49:$Y$52,K$30,FALSE)*$C$59*$A64/8760/1000*IF(LEFT($C64,5)&lt;&gt;"Multi",VLOOKUP(RIGHT($D64,4),'Units Per Home'!$A$11:$B$12,2,FALSE),1)</f>
        <v>0.29079335626078306</v>
      </c>
      <c r="L64" s="45">
        <f ca="1">VLOOKUP($C64,$C$49:$Y$52,L$30,FALSE)*$C$59*$A64/8760/1000*IF(LEFT($C64,5)&lt;&gt;"Multi",VLOOKUP(RIGHT($D64,4),'Units Per Home'!$A$11:$B$12,2,FALSE),1)</f>
        <v>0.23084665028554027</v>
      </c>
      <c r="M64" s="45">
        <f ca="1">VLOOKUP($C64,$C$49:$Y$52,M$30,FALSE)*$C$59*$A64/8760/1000*IF(LEFT($C64,5)&lt;&gt;"Multi",VLOOKUP(RIGHT($D64,4),'Units Per Home'!$A$11:$B$12,2,FALSE),1)</f>
        <v>0.18325861850313088</v>
      </c>
      <c r="N64" s="45">
        <f ca="1">VLOOKUP($C64,$C$49:$Y$52,N$30,FALSE)*$C$59*$A64/8760/1000*IF(LEFT($C64,5)&lt;&gt;"Multi",VLOOKUP(RIGHT($D64,4),'Units Per Home'!$A$11:$B$12,2,FALSE),1)</f>
        <v>0.14548292314204983</v>
      </c>
      <c r="O64" s="45">
        <f ca="1">VLOOKUP($C64,$C$49:$Y$52,O$30,FALSE)*$C$59*$A64/8760/1000*IF(LEFT($C64,5)&lt;&gt;"Multi",VLOOKUP(RIGHT($D64,4),'Units Per Home'!$A$11:$B$12,2,FALSE),1)</f>
        <v>0.11549545708091435</v>
      </c>
      <c r="P64" s="45">
        <f ca="1">VLOOKUP($C64,$C$49:$Y$52,P$30,FALSE)*$C$59*$A64/8760/1000*IF(LEFT($C64,5)&lt;&gt;"Multi",VLOOKUP(RIGHT($D64,4),'Units Per Home'!$A$11:$B$12,2,FALSE),1)</f>
        <v>9.1689459786779115E-2</v>
      </c>
      <c r="Q64" s="45">
        <f ca="1">VLOOKUP($C64,$C$49:$Y$52,Q$30,FALSE)*$C$59*$A64/8760/1000*IF(LEFT($C64,5)&lt;&gt;"Multi",VLOOKUP(RIGHT($D64,4),'Units Per Home'!$A$11:$B$12,2,FALSE),1)</f>
        <v>7.2791991987014817E-2</v>
      </c>
      <c r="R64" s="45">
        <f ca="1">VLOOKUP($C64,$C$49:$Y$52,R$30,FALSE)*$C$59*$A64/8760/1000*IF(LEFT($C64,5)&lt;&gt;"Multi",VLOOKUP(RIGHT($D64,4),'Units Per Home'!$A$11:$B$12,2,FALSE),1)</f>
        <v>5.7791337348857816E-2</v>
      </c>
      <c r="S64" s="45">
        <f ca="1">VLOOKUP($C64,$C$49:$Y$52,S$30,FALSE)*$C$59*$A64/8760/1000*IF(LEFT($C64,5)&lt;&gt;"Multi",VLOOKUP(RIGHT($D64,4),'Units Per Home'!$A$11:$B$12,2,FALSE),1)</f>
        <v>4.5883699105856206E-2</v>
      </c>
      <c r="T64" s="45">
        <f ca="1">VLOOKUP($C64,$C$49:$Y$52,T$30,FALSE)*$C$59*$A64/8760/1000*IF(LEFT($C64,5)&lt;&gt;"Multi",VLOOKUP(RIGHT($D64,4),'Units Per Home'!$A$11:$B$12,2,FALSE),1)</f>
        <v>3.643102344988141E-2</v>
      </c>
      <c r="U64" s="45">
        <f ca="1">VLOOKUP($C64,$C$49:$Y$52,U$30,FALSE)*$C$59*$A64/8760/1000*IF(LEFT($C64,5)&lt;&gt;"Multi",VLOOKUP(RIGHT($D64,4),'Units Per Home'!$A$11:$B$12,2,FALSE),1)</f>
        <v>2.4662955914824425E-4</v>
      </c>
      <c r="V64" s="45">
        <f ca="1">VLOOKUP($C64,$C$49:$Y$52,V$30,FALSE)*$C$59*$A64/8760/1000*IF(LEFT($C64,5)&lt;&gt;"Multi",VLOOKUP(RIGHT($D64,4),'Units Per Home'!$A$11:$B$12,2,FALSE),1)</f>
        <v>8.7427930245678436E-5</v>
      </c>
      <c r="W64" s="45">
        <f ca="1">VLOOKUP($C64,$C$49:$Y$52,W$30,FALSE)*$C$59*$A64/8760/1000*IF(LEFT($C64,5)&lt;&gt;"Multi",VLOOKUP(RIGHT($D64,4),'Units Per Home'!$A$11:$B$12,2,FALSE),1)</f>
        <v>2.9585273004350431E-5</v>
      </c>
      <c r="X64" s="45">
        <f ca="1">VLOOKUP($C64,$C$49:$Y$52,X$30,FALSE)*$C$59*$A64/8760/1000*IF(LEFT($C64,5)&lt;&gt;"Multi",VLOOKUP(RIGHT($D64,4),'Units Per Home'!$A$11:$B$12,2,FALSE),1)</f>
        <v>9.576789640581273E-6</v>
      </c>
      <c r="Y64" s="26">
        <f ca="1">(VLOOKUP($C64,$C$40:$AA$43,$X$39+3,FALSE)+VLOOKUP($C64,$C$31:$AA$34,$X$30+3,FALSE))*$A64/8760/1000*IF(LEFT($C64,5)&lt;&gt;"Multi",VLOOKUP(RIGHT($D64,4),'Units Per Home'!$A$11:$B$12,2,FALSE),1)</f>
        <v>3.3459075177846866</v>
      </c>
      <c r="AA64" s="26">
        <f t="shared" ca="1" si="29"/>
        <v>3.7188198353636226</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A65" s="67">
        <f t="shared" si="26"/>
        <v>56.616194615468245</v>
      </c>
      <c r="B65" s="67">
        <f t="shared" si="27"/>
        <v>-238.38313260787731</v>
      </c>
      <c r="C65" s="7" t="str">
        <f>C61</f>
        <v>Single Family</v>
      </c>
      <c r="D65" s="7" t="s">
        <v>620</v>
      </c>
      <c r="E65" s="45">
        <f ca="1">VLOOKUP($C65,$C$49:$Y$52,E$30,FALSE)*$C$59*$A65/8760/1000*IF(LEFT($C65,5)&lt;&gt;"Multi",VLOOKUP(RIGHT($D65,4),'Units Per Home'!$A$11:$B$12,2,FALSE),1)</f>
        <v>1.7480822732531769</v>
      </c>
      <c r="F65" s="45">
        <f ca="1">VLOOKUP($C65,$C$49:$Y$52,F$30,FALSE)*$C$59*$A65/8760/1000*IF(LEFT($C65,5)&lt;&gt;"Multi",VLOOKUP(RIGHT($D65,4),'Units Per Home'!$A$11:$B$12,2,FALSE),1)</f>
        <v>1.7730547453293719</v>
      </c>
      <c r="G65" s="45">
        <f ca="1">VLOOKUP($C65,$C$49:$Y$52,G$30,FALSE)*$C$59*$A65/8760/1000*IF(LEFT($C65,5)&lt;&gt;"Multi",VLOOKUP(RIGHT($D65,4),'Units Per Home'!$A$11:$B$12,2,FALSE),1)</f>
        <v>1.7953835881632243</v>
      </c>
      <c r="H65" s="45">
        <f ca="1">VLOOKUP($C65,$C$49:$Y$52,H$30,FALSE)*$C$59*$A65/8760/1000*IF(LEFT($C65,5)&lt;&gt;"Multi",VLOOKUP(RIGHT($D65,4),'Units Per Home'!$A$11:$B$12,2,FALSE),1)</f>
        <v>1.8150278834490934</v>
      </c>
      <c r="I65" s="45">
        <f ca="1">VLOOKUP($C65,$C$49:$Y$52,I$30,FALSE)*$C$59*$A65/8760/1000*IF(LEFT($C65,5)&lt;&gt;"Multi",VLOOKUP(RIGHT($D65,4),'Units Per Home'!$A$11:$B$12,2,FALSE),1)</f>
        <v>1.8326343710476769</v>
      </c>
      <c r="J65" s="45">
        <f ca="1">VLOOKUP($C65,$C$49:$Y$52,J$30,FALSE)*$C$59*$A65/8760/1000*IF(LEFT($C65,5)&lt;&gt;"Multi",VLOOKUP(RIGHT($D65,4),'Units Per Home'!$A$11:$B$12,2,FALSE),1)</f>
        <v>1.6635832715325705</v>
      </c>
      <c r="K65" s="45">
        <f ca="1">VLOOKUP($C65,$C$49:$Y$52,K$30,FALSE)*$C$59*$A65/8760/1000*IF(LEFT($C65,5)&lt;&gt;"Multi",VLOOKUP(RIGHT($D65,4),'Units Per Home'!$A$11:$B$12,2,FALSE),1)</f>
        <v>1.3408040398738357</v>
      </c>
      <c r="L65" s="45">
        <f ca="1">VLOOKUP($C65,$C$49:$Y$52,L$30,FALSE)*$C$59*$A65/8760/1000*IF(LEFT($C65,5)&lt;&gt;"Multi",VLOOKUP(RIGHT($D65,4),'Units Per Home'!$A$11:$B$12,2,FALSE),1)</f>
        <v>1.0798356490538894</v>
      </c>
      <c r="M65" s="45">
        <f ca="1">VLOOKUP($C65,$C$49:$Y$52,M$30,FALSE)*$C$59*$A65/8760/1000*IF(LEFT($C65,5)&lt;&gt;"Multi",VLOOKUP(RIGHT($D65,4),'Units Per Home'!$A$11:$B$12,2,FALSE),1)</f>
        <v>0.86928581031906604</v>
      </c>
      <c r="N65" s="45">
        <f ca="1">VLOOKUP($C65,$C$49:$Y$52,N$30,FALSE)*$C$59*$A65/8760/1000*IF(LEFT($C65,5)&lt;&gt;"Multi",VLOOKUP(RIGHT($D65,4),'Units Per Home'!$A$11:$B$12,2,FALSE),1)</f>
        <v>0.69951327957068099</v>
      </c>
      <c r="O65" s="45">
        <f ca="1">VLOOKUP($C65,$C$49:$Y$52,O$30,FALSE)*$C$59*$A65/8760/1000*IF(LEFT($C65,5)&lt;&gt;"Multi",VLOOKUP(RIGHT($D65,4),'Units Per Home'!$A$11:$B$12,2,FALSE),1)</f>
        <v>0.56283377548877778</v>
      </c>
      <c r="P65" s="45">
        <f ca="1">VLOOKUP($C65,$C$49:$Y$52,P$30,FALSE)*$C$59*$A65/8760/1000*IF(LEFT($C65,5)&lt;&gt;"Multi",VLOOKUP(RIGHT($D65,4),'Units Per Home'!$A$11:$B$12,2,FALSE),1)</f>
        <v>0.4527910504484956</v>
      </c>
      <c r="Q65" s="45">
        <f ca="1">VLOOKUP($C65,$C$49:$Y$52,Q$30,FALSE)*$C$59*$A65/8760/1000*IF(LEFT($C65,5)&lt;&gt;"Multi",VLOOKUP(RIGHT($D65,4),'Units Per Home'!$A$11:$B$12,2,FALSE),1)</f>
        <v>0.36416723308233873</v>
      </c>
      <c r="R65" s="45">
        <f ca="1">VLOOKUP($C65,$C$49:$Y$52,R$30,FALSE)*$C$59*$A65/8760/1000*IF(LEFT($C65,5)&lt;&gt;"Multi",VLOOKUP(RIGHT($D65,4),'Units Per Home'!$A$11:$B$12,2,FALSE),1)</f>
        <v>0.29279426546758824</v>
      </c>
      <c r="S65" s="45">
        <f ca="1">VLOOKUP($C65,$C$49:$Y$52,S$30,FALSE)*$C$59*$A65/8760/1000*IF(LEFT($C65,5)&lt;&gt;"Multi",VLOOKUP(RIGHT($D65,4),'Units Per Home'!$A$11:$B$12,2,FALSE),1)</f>
        <v>0.23538612250842469</v>
      </c>
      <c r="T65" s="45">
        <f ca="1">VLOOKUP($C65,$C$49:$Y$52,T$30,FALSE)*$C$59*$A65/8760/1000*IF(LEFT($C65,5)&lt;&gt;"Multi",VLOOKUP(RIGHT($D65,4),'Units Per Home'!$A$11:$B$12,2,FALSE),1)</f>
        <v>0.18923217400113154</v>
      </c>
      <c r="U65" s="45">
        <f ca="1">VLOOKUP($C65,$C$49:$Y$52,U$30,FALSE)*$C$59*$A65/8760/1000*IF(LEFT($C65,5)&lt;&gt;"Multi",VLOOKUP(RIGHT($D65,4),'Units Per Home'!$A$11:$B$12,2,FALSE),1)</f>
        <v>1.2969022122115317E-3</v>
      </c>
      <c r="V65" s="45">
        <f ca="1">VLOOKUP($C65,$C$49:$Y$52,V$30,FALSE)*$C$59*$A65/8760/1000*IF(LEFT($C65,5)&lt;&gt;"Multi",VLOOKUP(RIGHT($D65,4),'Units Per Home'!$A$11:$B$12,2,FALSE),1)</f>
        <v>4.6529022085215317E-4</v>
      </c>
      <c r="W65" s="45">
        <f ca="1">VLOOKUP($C65,$C$49:$Y$52,W$30,FALSE)*$C$59*$A65/8760/1000*IF(LEFT($C65,5)&lt;&gt;"Multi",VLOOKUP(RIGHT($D65,4),'Units Per Home'!$A$11:$B$12,2,FALSE),1)</f>
        <v>1.5934019718826317E-4</v>
      </c>
      <c r="X65" s="45">
        <f ca="1">VLOOKUP($C65,$C$49:$Y$52,X$30,FALSE)*$C$59*$A65/8760/1000*IF(LEFT($C65,5)&lt;&gt;"Multi",VLOOKUP(RIGHT($D65,4),'Units Per Home'!$A$11:$B$12,2,FALSE),1)</f>
        <v>5.2194137025681731E-5</v>
      </c>
      <c r="Y65" s="26">
        <f ca="1">(VLOOKUP($C65,$C$40:$AA$43,$X$39+3,FALSE)+VLOOKUP($C65,$C$31:$AA$34,$X$30+3,FALSE))*$A65/8760/1000*IF(LEFT($C65,5)&lt;&gt;"Multi",VLOOKUP(RIGHT($D65,4),'Units Per Home'!$A$11:$B$12,2,FALSE),1)</f>
        <v>18.235417296679064</v>
      </c>
      <c r="AA65" s="26">
        <f t="shared" ca="1" si="29"/>
        <v>16.716383259356622</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A66" s="67">
        <f t="shared" si="26"/>
        <v>68.562066880880366</v>
      </c>
      <c r="B66" s="67">
        <f t="shared" si="27"/>
        <v>-134.16702760464855</v>
      </c>
      <c r="C66" s="7" t="str">
        <f t="shared" ref="C66:C68" si="30">C62</f>
        <v>Multifamily - Low Rise</v>
      </c>
      <c r="D66" s="7" t="s">
        <v>621</v>
      </c>
      <c r="E66" s="45">
        <f ca="1">VLOOKUP($C66,$C$49:$Y$52,E$30,FALSE)*$C$59*$A66/8760/1000*IF(LEFT($C66,5)&lt;&gt;"Multi",VLOOKUP(RIGHT($D66,4),'Units Per Home'!$A$11:$B$12,2,FALSE),1)</f>
        <v>0.49041869817066502</v>
      </c>
      <c r="F66" s="45">
        <f ca="1">VLOOKUP($C66,$C$49:$Y$52,F$30,FALSE)*$C$59*$A66/8760/1000*IF(LEFT($C66,5)&lt;&gt;"Multi",VLOOKUP(RIGHT($D66,4),'Units Per Home'!$A$11:$B$12,2,FALSE),1)</f>
        <v>0.50096665643825944</v>
      </c>
      <c r="G66" s="45">
        <f ca="1">VLOOKUP($C66,$C$49:$Y$52,G$30,FALSE)*$C$59*$A66/8760/1000*IF(LEFT($C66,5)&lt;&gt;"Multi",VLOOKUP(RIGHT($D66,4),'Units Per Home'!$A$11:$B$12,2,FALSE),1)</f>
        <v>0.51072829089305416</v>
      </c>
      <c r="H66" s="45">
        <f ca="1">VLOOKUP($C66,$C$49:$Y$52,H$30,FALSE)*$C$59*$A66/8760/1000*IF(LEFT($C66,5)&lt;&gt;"Multi",VLOOKUP(RIGHT($D66,4),'Units Per Home'!$A$11:$B$12,2,FALSE),1)</f>
        <v>0.51974395980136368</v>
      </c>
      <c r="I66" s="45">
        <f ca="1">VLOOKUP($C66,$C$49:$Y$52,I$30,FALSE)*$C$59*$A66/8760/1000*IF(LEFT($C66,5)&lt;&gt;"Multi",VLOOKUP(RIGHT($D66,4),'Units Per Home'!$A$11:$B$12,2,FALSE),1)</f>
        <v>0.52780951701574974</v>
      </c>
      <c r="J66" s="45">
        <f ca="1">VLOOKUP($C66,$C$49:$Y$52,J$30,FALSE)*$C$59*$A66/8760/1000*IF(LEFT($C66,5)&lt;&gt;"Multi",VLOOKUP(RIGHT($D66,4),'Units Per Home'!$A$11:$B$12,2,FALSE),1)</f>
        <v>0.48128098300176397</v>
      </c>
      <c r="K66" s="45">
        <f ca="1">VLOOKUP($C66,$C$49:$Y$52,K$30,FALSE)*$C$59*$A66/8760/1000*IF(LEFT($C66,5)&lt;&gt;"Multi",VLOOKUP(RIGHT($D66,4),'Units Per Home'!$A$11:$B$12,2,FALSE),1)</f>
        <v>0.3894490633413169</v>
      </c>
      <c r="L66" s="45">
        <f ca="1">VLOOKUP($C66,$C$49:$Y$52,L$30,FALSE)*$C$59*$A66/8760/1000*IF(LEFT($C66,5)&lt;&gt;"Multi",VLOOKUP(RIGHT($D66,4),'Units Per Home'!$A$11:$B$12,2,FALSE),1)</f>
        <v>0.31482669556103365</v>
      </c>
      <c r="M66" s="45">
        <f ca="1">VLOOKUP($C66,$C$49:$Y$52,M$30,FALSE)*$C$59*$A66/8760/1000*IF(LEFT($C66,5)&lt;&gt;"Multi",VLOOKUP(RIGHT($D66,4),'Units Per Home'!$A$11:$B$12,2,FALSE),1)</f>
        <v>0.25438096484679429</v>
      </c>
      <c r="N66" s="45">
        <f ca="1">VLOOKUP($C66,$C$49:$Y$52,N$30,FALSE)*$C$59*$A66/8760/1000*IF(LEFT($C66,5)&lt;&gt;"Multi",VLOOKUP(RIGHT($D66,4),'Units Per Home'!$A$11:$B$12,2,FALSE),1)</f>
        <v>0.20547960432208104</v>
      </c>
      <c r="O66" s="45">
        <f ca="1">VLOOKUP($C66,$C$49:$Y$52,O$30,FALSE)*$C$59*$A66/8760/1000*IF(LEFT($C66,5)&lt;&gt;"Multi",VLOOKUP(RIGHT($D66,4),'Units Per Home'!$A$11:$B$12,2,FALSE),1)</f>
        <v>0.16594982929420748</v>
      </c>
      <c r="P66" s="45">
        <f ca="1">VLOOKUP($C66,$C$49:$Y$52,P$30,FALSE)*$C$59*$A66/8760/1000*IF(LEFT($C66,5)&lt;&gt;"Multi",VLOOKUP(RIGHT($D66,4),'Units Per Home'!$A$11:$B$12,2,FALSE),1)</f>
        <v>0.13397715101015623</v>
      </c>
      <c r="Q66" s="45">
        <f ca="1">VLOOKUP($C66,$C$49:$Y$52,Q$30,FALSE)*$C$59*$A66/8760/1000*IF(LEFT($C66,5)&lt;&gt;"Multi",VLOOKUP(RIGHT($D66,4),'Units Per Home'!$A$11:$B$12,2,FALSE),1)</f>
        <v>0.10812912165521818</v>
      </c>
      <c r="R66" s="45">
        <f ca="1">VLOOKUP($C66,$C$49:$Y$52,R$30,FALSE)*$C$59*$A66/8760/1000*IF(LEFT($C66,5)&lt;&gt;"Multi",VLOOKUP(RIGHT($D66,4),'Units Per Home'!$A$11:$B$12,2,FALSE),1)</f>
        <v>8.7245616552108454E-2</v>
      </c>
      <c r="S66" s="45">
        <f ca="1">VLOOKUP($C66,$C$49:$Y$52,S$30,FALSE)*$C$59*$A66/8760/1000*IF(LEFT($C66,5)&lt;&gt;"Multi",VLOOKUP(RIGHT($D66,4),'Units Per Home'!$A$11:$B$12,2,FALSE),1)</f>
        <v>7.0371709308284167E-2</v>
      </c>
      <c r="T66" s="45">
        <f ca="1">VLOOKUP($C66,$C$49:$Y$52,T$30,FALSE)*$C$59*$A66/8760/1000*IF(LEFT($C66,5)&lt;&gt;"Multi",VLOOKUP(RIGHT($D66,4),'Units Per Home'!$A$11:$B$12,2,FALSE),1)</f>
        <v>5.6743987076308684E-2</v>
      </c>
      <c r="U66" s="45">
        <f ca="1">VLOOKUP($C66,$C$49:$Y$52,U$30,FALSE)*$C$59*$A66/8760/1000*IF(LEFT($C66,5)&lt;&gt;"Multi",VLOOKUP(RIGHT($D66,4),'Units Per Home'!$A$11:$B$12,2,FALSE),1)</f>
        <v>3.8997120121207274E-4</v>
      </c>
      <c r="V66" s="45">
        <f ca="1">VLOOKUP($C66,$C$49:$Y$52,V$30,FALSE)*$C$59*$A66/8760/1000*IF(LEFT($C66,5)&lt;&gt;"Multi",VLOOKUP(RIGHT($D66,4),'Units Per Home'!$A$11:$B$12,2,FALSE),1)</f>
        <v>1.403014819409764E-4</v>
      </c>
      <c r="W66" s="45">
        <f ca="1">VLOOKUP($C66,$C$49:$Y$52,W$30,FALSE)*$C$59*$A66/8760/1000*IF(LEFT($C66,5)&lt;&gt;"Multi",VLOOKUP(RIGHT($D66,4),'Units Per Home'!$A$11:$B$12,2,FALSE),1)</f>
        <v>4.8174499223154138E-5</v>
      </c>
      <c r="X66" s="45">
        <f ca="1">VLOOKUP($C66,$C$49:$Y$52,X$30,FALSE)*$C$59*$A66/8760/1000*IF(LEFT($C66,5)&lt;&gt;"Multi",VLOOKUP(RIGHT($D66,4),'Units Per Home'!$A$11:$B$12,2,FALSE),1)</f>
        <v>1.5818756081838495E-5</v>
      </c>
      <c r="Y66" s="26">
        <f ca="1">(VLOOKUP($C66,$C$40:$AA$43,$X$39+3,FALSE)+VLOOKUP($C66,$C$31:$AA$34,$X$30+3,FALSE))*$A66/8760/1000*IF(LEFT($C66,5)&lt;&gt;"Multi",VLOOKUP(RIGHT($D66,4),'Units Per Home'!$A$11:$B$12,2,FALSE),1)</f>
        <v>5.5267053869435445</v>
      </c>
      <c r="AA66" s="26">
        <f t="shared" ca="1" si="29"/>
        <v>4.8180961142268233</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67" s="67">
        <f t="shared" si="26"/>
        <v>68.562066880880366</v>
      </c>
      <c r="B67" s="67">
        <f t="shared" si="27"/>
        <v>-134.16702760464855</v>
      </c>
      <c r="C67" s="7" t="str">
        <f t="shared" si="30"/>
        <v>Multifamily - High Rise</v>
      </c>
      <c r="D67" s="7" t="s">
        <v>621</v>
      </c>
      <c r="E67" s="45">
        <f ca="1">VLOOKUP($C67,$C$49:$Y$52,E$30,FALSE)*$C$59*$A67/8760/1000*IF(LEFT($C67,5)&lt;&gt;"Multi",VLOOKUP(RIGHT($D67,4),'Units Per Home'!$A$11:$B$12,2,FALSE),1)</f>
        <v>0.11181367223074852</v>
      </c>
      <c r="F67" s="45">
        <f ca="1">VLOOKUP($C67,$C$49:$Y$52,F$30,FALSE)*$C$59*$A67/8760/1000*IF(LEFT($C67,5)&lt;&gt;"Multi",VLOOKUP(RIGHT($D67,4),'Units Per Home'!$A$11:$B$12,2,FALSE),1)</f>
        <v>0.11417769537354516</v>
      </c>
      <c r="G67" s="45">
        <f ca="1">VLOOKUP($C67,$C$49:$Y$52,G$30,FALSE)*$C$59*$A67/8760/1000*IF(LEFT($C67,5)&lt;&gt;"Multi",VLOOKUP(RIGHT($D67,4),'Units Per Home'!$A$11:$B$12,2,FALSE),1)</f>
        <v>0.11639956452280414</v>
      </c>
      <c r="H67" s="45">
        <f ca="1">VLOOKUP($C67,$C$49:$Y$52,H$30,FALSE)*$C$59*$A67/8760/1000*IF(LEFT($C67,5)&lt;&gt;"Multi",VLOOKUP(RIGHT($D67,4),'Units Per Home'!$A$11:$B$12,2,FALSE),1)</f>
        <v>0.11848630375826361</v>
      </c>
      <c r="I67" s="45">
        <f ca="1">VLOOKUP($C67,$C$49:$Y$52,I$30,FALSE)*$C$59*$A67/8760/1000*IF(LEFT($C67,5)&lt;&gt;"Multi",VLOOKUP(RIGHT($D67,4),'Units Per Home'!$A$11:$B$12,2,FALSE),1)</f>
        <v>0.12030461364205201</v>
      </c>
      <c r="J67" s="45">
        <f ca="1">VLOOKUP($C67,$C$49:$Y$52,J$30,FALSE)*$C$59*$A67/8760/1000*IF(LEFT($C67,5)&lt;&gt;"Multi",VLOOKUP(RIGHT($D67,4),'Units Per Home'!$A$11:$B$12,2,FALSE),1)</f>
        <v>0.10965171833494591</v>
      </c>
      <c r="K67" s="45">
        <f ca="1">VLOOKUP($C67,$C$49:$Y$52,K$30,FALSE)*$C$59*$A67/8760/1000*IF(LEFT($C67,5)&lt;&gt;"Multi",VLOOKUP(RIGHT($D67,4),'Units Per Home'!$A$11:$B$12,2,FALSE),1)</f>
        <v>8.8712856388035291E-2</v>
      </c>
      <c r="L67" s="45">
        <f ca="1">VLOOKUP($C67,$C$49:$Y$52,L$30,FALSE)*$C$59*$A67/8760/1000*IF(LEFT($C67,5)&lt;&gt;"Multi",VLOOKUP(RIGHT($D67,4),'Units Per Home'!$A$11:$B$12,2,FALSE),1)</f>
        <v>7.1704936646775186E-2</v>
      </c>
      <c r="M67" s="45">
        <f ca="1">VLOOKUP($C67,$C$49:$Y$52,M$30,FALSE)*$C$59*$A67/8760/1000*IF(LEFT($C67,5)&lt;&gt;"Multi",VLOOKUP(RIGHT($D67,4),'Units Per Home'!$A$11:$B$12,2,FALSE),1)</f>
        <v>5.7938885084915702E-2</v>
      </c>
      <c r="N67" s="45">
        <f ca="1">VLOOKUP($C67,$C$49:$Y$52,N$30,FALSE)*$C$59*$A67/8760/1000*IF(LEFT($C67,5)&lt;&gt;"Multi",VLOOKUP(RIGHT($D67,4),'Units Per Home'!$A$11:$B$12,2,FALSE),1)</f>
        <v>4.6797921266168434E-2</v>
      </c>
      <c r="O67" s="45">
        <f ca="1">VLOOKUP($C67,$C$49:$Y$52,O$30,FALSE)*$C$59*$A67/8760/1000*IF(LEFT($C67,5)&lt;&gt;"Multi",VLOOKUP(RIGHT($D67,4),'Units Per Home'!$A$11:$B$12,2,FALSE),1)</f>
        <v>3.7792635601142627E-2</v>
      </c>
      <c r="P67" s="45">
        <f ca="1">VLOOKUP($C67,$C$49:$Y$52,P$30,FALSE)*$C$59*$A67/8760/1000*IF(LEFT($C67,5)&lt;&gt;"Multi",VLOOKUP(RIGHT($D67,4),'Units Per Home'!$A$11:$B$12,2,FALSE),1)</f>
        <v>3.0505457556595793E-2</v>
      </c>
      <c r="Q67" s="45">
        <f ca="1">VLOOKUP($C67,$C$49:$Y$52,Q$30,FALSE)*$C$59*$A67/8760/1000*IF(LEFT($C67,5)&lt;&gt;"Multi",VLOOKUP(RIGHT($D67,4),'Units Per Home'!$A$11:$B$12,2,FALSE),1)</f>
        <v>2.461503349266269E-2</v>
      </c>
      <c r="R67" s="45">
        <f ca="1">VLOOKUP($C67,$C$49:$Y$52,R$30,FALSE)*$C$59*$A67/8760/1000*IF(LEFT($C67,5)&lt;&gt;"Multi",VLOOKUP(RIGHT($D67,4),'Units Per Home'!$A$11:$B$12,2,FALSE),1)</f>
        <v>1.9855332030090548E-2</v>
      </c>
      <c r="S67" s="45">
        <f ca="1">VLOOKUP($C67,$C$49:$Y$52,S$30,FALSE)*$C$59*$A67/8760/1000*IF(LEFT($C67,5)&lt;&gt;"Multi",VLOOKUP(RIGHT($D67,4),'Units Per Home'!$A$11:$B$12,2,FALSE),1)</f>
        <v>1.6012008789746481E-2</v>
      </c>
      <c r="T67" s="45">
        <f ca="1">VLOOKUP($C67,$C$49:$Y$52,T$30,FALSE)*$C$59*$A67/8760/1000*IF(LEFT($C67,5)&lt;&gt;"Multi",VLOOKUP(RIGHT($D67,4),'Units Per Home'!$A$11:$B$12,2,FALSE),1)</f>
        <v>1.2909363644894926E-2</v>
      </c>
      <c r="U67" s="45">
        <f ca="1">VLOOKUP($C67,$C$49:$Y$52,U$30,FALSE)*$C$59*$A67/8760/1000*IF(LEFT($C67,5)&lt;&gt;"Multi",VLOOKUP(RIGHT($D67,4),'Units Per Home'!$A$11:$B$12,2,FALSE),1)</f>
        <v>8.8706356178457307E-5</v>
      </c>
      <c r="V67" s="45">
        <f ca="1">VLOOKUP($C67,$C$49:$Y$52,V$30,FALSE)*$C$59*$A67/8760/1000*IF(LEFT($C67,5)&lt;&gt;"Multi",VLOOKUP(RIGHT($D67,4),'Units Per Home'!$A$11:$B$12,2,FALSE),1)</f>
        <v>3.1910110614427101E-5</v>
      </c>
      <c r="W67" s="45">
        <f ca="1">VLOOKUP($C67,$C$49:$Y$52,W$30,FALSE)*$C$59*$A67/8760/1000*IF(LEFT($C67,5)&lt;&gt;"Multi",VLOOKUP(RIGHT($D67,4),'Units Per Home'!$A$11:$B$12,2,FALSE),1)</f>
        <v>1.0954396222942099E-5</v>
      </c>
      <c r="X67" s="45">
        <f ca="1">VLOOKUP($C67,$C$49:$Y$52,X$30,FALSE)*$C$59*$A67/8760/1000*IF(LEFT($C67,5)&lt;&gt;"Multi",VLOOKUP(RIGHT($D67,4),'Units Per Home'!$A$11:$B$12,2,FALSE),1)</f>
        <v>3.5967471696108189E-6</v>
      </c>
      <c r="Y67" s="26">
        <f ca="1">(VLOOKUP($C67,$C$40:$AA$43,$X$39+3,FALSE)+VLOOKUP($C67,$C$31:$AA$34,$X$30+3,FALSE))*$A67/8760/1000*IF(LEFT($C67,5)&lt;&gt;"Multi",VLOOKUP(RIGHT($D67,4),'Units Per Home'!$A$11:$B$12,2,FALSE),1)</f>
        <v>1.2566197907675032</v>
      </c>
      <c r="AA67" s="26">
        <f t="shared" ca="1" si="29"/>
        <v>1.0978131659735726</v>
      </c>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1:80">
      <c r="A68" s="67">
        <f t="shared" si="26"/>
        <v>84.141098214387171</v>
      </c>
      <c r="B68" s="67">
        <f t="shared" si="27"/>
        <v>-143.66876563424663</v>
      </c>
      <c r="C68" s="7" t="str">
        <f t="shared" si="30"/>
        <v>Manufactured</v>
      </c>
      <c r="D68" s="7" t="s">
        <v>622</v>
      </c>
      <c r="E68" s="45">
        <f ca="1">VLOOKUP($C68,$C$49:$Y$52,E$30,FALSE)*$C$59*$A68/8760/1000*IF(LEFT($C68,5)&lt;&gt;"Multi",VLOOKUP(RIGHT($D68,4),'Units Per Home'!$A$11:$B$12,2,FALSE),1)</f>
        <v>0.25185514722483554</v>
      </c>
      <c r="F68" s="45">
        <f ca="1">VLOOKUP($C68,$C$49:$Y$52,F$30,FALSE)*$C$59*$A68/8760/1000*IF(LEFT($C68,5)&lt;&gt;"Multi",VLOOKUP(RIGHT($D68,4),'Units Per Home'!$A$11:$B$12,2,FALSE),1)</f>
        <v>0.24996073121111775</v>
      </c>
      <c r="G68" s="45">
        <f ca="1">VLOOKUP($C68,$C$49:$Y$52,G$30,FALSE)*$C$59*$A68/8760/1000*IF(LEFT($C68,5)&lt;&gt;"Multi",VLOOKUP(RIGHT($D68,4),'Units Per Home'!$A$11:$B$12,2,FALSE),1)</f>
        <v>0.24807410070513009</v>
      </c>
      <c r="H68" s="45">
        <f ca="1">VLOOKUP($C68,$C$49:$Y$52,H$30,FALSE)*$C$59*$A68/8760/1000*IF(LEFT($C68,5)&lt;&gt;"Multi",VLOOKUP(RIGHT($D68,4),'Units Per Home'!$A$11:$B$12,2,FALSE),1)</f>
        <v>0.24621657485330098</v>
      </c>
      <c r="I68" s="45">
        <f ca="1">VLOOKUP($C68,$C$49:$Y$52,I$30,FALSE)*$C$59*$A68/8760/1000*IF(LEFT($C68,5)&lt;&gt;"Multi",VLOOKUP(RIGHT($D68,4),'Units Per Home'!$A$11:$B$12,2,FALSE),1)</f>
        <v>0.24438779240814376</v>
      </c>
      <c r="J68" s="45">
        <f ca="1">VLOOKUP($C68,$C$49:$Y$52,J$30,FALSE)*$C$59*$A68/8760/1000*IF(LEFT($C68,5)&lt;&gt;"Multi",VLOOKUP(RIGHT($D68,4),'Units Per Home'!$A$11:$B$12,2,FALSE),1)</f>
        <v>0.21828227650273332</v>
      </c>
      <c r="K68" s="45">
        <f ca="1">VLOOKUP($C68,$C$49:$Y$52,K$30,FALSE)*$C$59*$A68/8760/1000*IF(LEFT($C68,5)&lt;&gt;"Multi",VLOOKUP(RIGHT($D68,4),'Units Per Home'!$A$11:$B$12,2,FALSE),1)</f>
        <v>0.17328662264597594</v>
      </c>
      <c r="L68" s="45">
        <f ca="1">VLOOKUP($C68,$C$49:$Y$52,L$30,FALSE)*$C$59*$A68/8760/1000*IF(LEFT($C68,5)&lt;&gt;"Multi",VLOOKUP(RIGHT($D68,4),'Units Per Home'!$A$11:$B$12,2,FALSE),1)</f>
        <v>0.1375637906295345</v>
      </c>
      <c r="M68" s="45">
        <f ca="1">VLOOKUP($C68,$C$49:$Y$52,M$30,FALSE)*$C$59*$A68/8760/1000*IF(LEFT($C68,5)&lt;&gt;"Multi",VLOOKUP(RIGHT($D68,4),'Units Per Home'!$A$11:$B$12,2,FALSE),1)</f>
        <v>0.10920561418430734</v>
      </c>
      <c r="N68" s="45">
        <f ca="1">VLOOKUP($C68,$C$49:$Y$52,N$30,FALSE)*$C$59*$A68/8760/1000*IF(LEFT($C68,5)&lt;&gt;"Multi",VLOOKUP(RIGHT($D68,4),'Units Per Home'!$A$11:$B$12,2,FALSE),1)</f>
        <v>8.6694705574158329E-2</v>
      </c>
      <c r="O68" s="45">
        <f ca="1">VLOOKUP($C68,$C$49:$Y$52,O$30,FALSE)*$C$59*$A68/8760/1000*IF(LEFT($C68,5)&lt;&gt;"Multi",VLOOKUP(RIGHT($D68,4),'Units Per Home'!$A$11:$B$12,2,FALSE),1)</f>
        <v>6.8824879446546097E-2</v>
      </c>
      <c r="P68" s="45">
        <f ca="1">VLOOKUP($C68,$C$49:$Y$52,P$30,FALSE)*$C$59*$A68/8760/1000*IF(LEFT($C68,5)&lt;&gt;"Multi",VLOOKUP(RIGHT($D68,4),'Units Per Home'!$A$11:$B$12,2,FALSE),1)</f>
        <v>5.4638651388019141E-2</v>
      </c>
      <c r="Q68" s="45">
        <f ca="1">VLOOKUP($C68,$C$49:$Y$52,Q$30,FALSE)*$C$59*$A68/8760/1000*IF(LEFT($C68,5)&lt;&gt;"Multi",VLOOKUP(RIGHT($D68,4),'Units Per Home'!$A$11:$B$12,2,FALSE),1)</f>
        <v>4.3377464359229151E-2</v>
      </c>
      <c r="R68" s="45">
        <f ca="1">VLOOKUP($C68,$C$49:$Y$52,R$30,FALSE)*$C$59*$A68/8760/1000*IF(LEFT($C68,5)&lt;&gt;"Multi",VLOOKUP(RIGHT($D68,4),'Units Per Home'!$A$11:$B$12,2,FALSE),1)</f>
        <v>3.4438426641346186E-2</v>
      </c>
      <c r="S68" s="45">
        <f ca="1">VLOOKUP($C68,$C$49:$Y$52,S$30,FALSE)*$C$59*$A68/8760/1000*IF(LEFT($C68,5)&lt;&gt;"Multi",VLOOKUP(RIGHT($D68,4),'Units Per Home'!$A$11:$B$12,2,FALSE),1)</f>
        <v>2.7342547831208139E-2</v>
      </c>
      <c r="T68" s="45">
        <f ca="1">VLOOKUP($C68,$C$49:$Y$52,T$30,FALSE)*$C$59*$A68/8760/1000*IF(LEFT($C68,5)&lt;&gt;"Multi",VLOOKUP(RIGHT($D68,4),'Units Per Home'!$A$11:$B$12,2,FALSE),1)</f>
        <v>2.1709605385567352E-2</v>
      </c>
      <c r="U68" s="45">
        <f ca="1">VLOOKUP($C68,$C$49:$Y$52,U$30,FALSE)*$C$59*$A68/8760/1000*IF(LEFT($C68,5)&lt;&gt;"Multi",VLOOKUP(RIGHT($D68,4),'Units Per Home'!$A$11:$B$12,2,FALSE),1)</f>
        <v>1.4696898133786178E-4</v>
      </c>
      <c r="V68" s="45">
        <f ca="1">VLOOKUP($C68,$C$49:$Y$52,V$30,FALSE)*$C$59*$A68/8760/1000*IF(LEFT($C68,5)&lt;&gt;"Multi",VLOOKUP(RIGHT($D68,4),'Units Per Home'!$A$11:$B$12,2,FALSE),1)</f>
        <v>5.2099163997457396E-5</v>
      </c>
      <c r="W68" s="45">
        <f ca="1">VLOOKUP($C68,$C$49:$Y$52,W$30,FALSE)*$C$59*$A68/8760/1000*IF(LEFT($C68,5)&lt;&gt;"Multi",VLOOKUP(RIGHT($D68,4),'Units Per Home'!$A$11:$B$12,2,FALSE),1)</f>
        <v>1.76301553271575E-5</v>
      </c>
      <c r="X68" s="45">
        <f ca="1">VLOOKUP($C68,$C$49:$Y$52,X$30,FALSE)*$C$59*$A68/8760/1000*IF(LEFT($C68,5)&lt;&gt;"Multi",VLOOKUP(RIGHT($D68,4),'Units Per Home'!$A$11:$B$12,2,FALSE),1)</f>
        <v>5.7069031904533442E-6</v>
      </c>
      <c r="Y68" s="26">
        <f ca="1">(VLOOKUP($C68,$C$40:$AA$43,$X$39+3,FALSE)+VLOOKUP($C68,$C$31:$AA$34,$X$30+3,FALSE))*$A68/8760/1000*IF(LEFT($C68,5)&lt;&gt;"Multi",VLOOKUP(RIGHT($D68,4),'Units Per Home'!$A$11:$B$12,2,FALSE),1)</f>
        <v>1.993859216380186</v>
      </c>
      <c r="AA68" s="26">
        <f t="shared" ca="1" si="29"/>
        <v>2.2160813361950065</v>
      </c>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1:80">
      <c r="A69" s="67">
        <f t="shared" si="26"/>
        <v>58.930558362050633</v>
      </c>
      <c r="B69" s="67">
        <f t="shared" si="27"/>
        <v>-230.16854242343911</v>
      </c>
      <c r="C69" s="7" t="str">
        <f>C61</f>
        <v>Single Family</v>
      </c>
      <c r="D69" s="7" t="s">
        <v>623</v>
      </c>
      <c r="E69" s="45">
        <f ca="1">VLOOKUP($C69,$C$49:$Y$52,E$30,FALSE)*$C$59*$A69/8760/1000*IF(LEFT($C69,5)&lt;&gt;"Multi",VLOOKUP(RIGHT($D69,4),'Units Per Home'!$A$11:$B$12,2,FALSE),1)</f>
        <v>1.8195405947941861</v>
      </c>
      <c r="F69" s="45">
        <f ca="1">VLOOKUP($C69,$C$49:$Y$52,F$30,FALSE)*$C$59*$A69/8760/1000*IF(LEFT($C69,5)&lt;&gt;"Multi",VLOOKUP(RIGHT($D69,4),'Units Per Home'!$A$11:$B$12,2,FALSE),1)</f>
        <v>1.8455338946463953</v>
      </c>
      <c r="G69" s="45">
        <f ca="1">VLOOKUP($C69,$C$49:$Y$52,G$30,FALSE)*$C$59*$A69/8760/1000*IF(LEFT($C69,5)&lt;&gt;"Multi",VLOOKUP(RIGHT($D69,4),'Units Per Home'!$A$11:$B$12,2,FALSE),1)</f>
        <v>1.8687754986558933</v>
      </c>
      <c r="H69" s="45">
        <f ca="1">VLOOKUP($C69,$C$49:$Y$52,H$30,FALSE)*$C$59*$A69/8760/1000*IF(LEFT($C69,5)&lt;&gt;"Multi",VLOOKUP(RIGHT($D69,4),'Units Per Home'!$A$11:$B$12,2,FALSE),1)</f>
        <v>1.8892228158535238</v>
      </c>
      <c r="I69" s="45">
        <f ca="1">VLOOKUP($C69,$C$49:$Y$52,I$30,FALSE)*$C$59*$A69/8760/1000*IF(LEFT($C69,5)&lt;&gt;"Multi",VLOOKUP(RIGHT($D69,4),'Units Per Home'!$A$11:$B$12,2,FALSE),1)</f>
        <v>1.9075490236113224</v>
      </c>
      <c r="J69" s="45">
        <f ca="1">VLOOKUP($C69,$C$49:$Y$52,J$30,FALSE)*$C$59*$A69/8760/1000*IF(LEFT($C69,5)&lt;&gt;"Multi",VLOOKUP(RIGHT($D69,4),'Units Per Home'!$A$11:$B$12,2,FALSE),1)</f>
        <v>1.7315874325187628</v>
      </c>
      <c r="K69" s="45">
        <f ca="1">VLOOKUP($C69,$C$49:$Y$52,K$30,FALSE)*$C$59*$A69/8760/1000*IF(LEFT($C69,5)&lt;&gt;"Multi",VLOOKUP(RIGHT($D69,4),'Units Per Home'!$A$11:$B$12,2,FALSE),1)</f>
        <v>1.395613591844455</v>
      </c>
      <c r="L69" s="45">
        <f ca="1">VLOOKUP($C69,$C$49:$Y$52,L$30,FALSE)*$C$59*$A69/8760/1000*IF(LEFT($C69,5)&lt;&gt;"Multi",VLOOKUP(RIGHT($D69,4),'Units Per Home'!$A$11:$B$12,2,FALSE),1)</f>
        <v>1.1239773031408773</v>
      </c>
      <c r="M69" s="45">
        <f ca="1">VLOOKUP($C69,$C$49:$Y$52,M$30,FALSE)*$C$59*$A69/8760/1000*IF(LEFT($C69,5)&lt;&gt;"Multi",VLOOKUP(RIGHT($D69,4),'Units Per Home'!$A$11:$B$12,2,FALSE),1)</f>
        <v>0.9048205822776052</v>
      </c>
      <c r="N69" s="45">
        <f ca="1">VLOOKUP($C69,$C$49:$Y$52,N$30,FALSE)*$C$59*$A69/8760/1000*IF(LEFT($C69,5)&lt;&gt;"Multi",VLOOKUP(RIGHT($D69,4),'Units Per Home'!$A$11:$B$12,2,FALSE),1)</f>
        <v>0.72810806919734072</v>
      </c>
      <c r="O69" s="45">
        <f ca="1">VLOOKUP($C69,$C$49:$Y$52,O$30,FALSE)*$C$59*$A69/8760/1000*IF(LEFT($C69,5)&lt;&gt;"Multi",VLOOKUP(RIGHT($D69,4),'Units Per Home'!$A$11:$B$12,2,FALSE),1)</f>
        <v>0.58584136358597261</v>
      </c>
      <c r="P69" s="45">
        <f ca="1">VLOOKUP($C69,$C$49:$Y$52,P$30,FALSE)*$C$59*$A69/8760/1000*IF(LEFT($C69,5)&lt;&gt;"Multi",VLOOKUP(RIGHT($D69,4),'Units Per Home'!$A$11:$B$12,2,FALSE),1)</f>
        <v>0.47130029853647365</v>
      </c>
      <c r="Q69" s="45">
        <f ca="1">VLOOKUP($C69,$C$49:$Y$52,Q$30,FALSE)*$C$59*$A69/8760/1000*IF(LEFT($C69,5)&lt;&gt;"Multi",VLOOKUP(RIGHT($D69,4),'Units Per Home'!$A$11:$B$12,2,FALSE),1)</f>
        <v>0.37905370589569731</v>
      </c>
      <c r="R69" s="45">
        <f ca="1">VLOOKUP($C69,$C$49:$Y$52,R$30,FALSE)*$C$59*$A69/8760/1000*IF(LEFT($C69,5)&lt;&gt;"Multi",VLOOKUP(RIGHT($D69,4),'Units Per Home'!$A$11:$B$12,2,FALSE),1)</f>
        <v>0.30476314535801213</v>
      </c>
      <c r="S69" s="45">
        <f ca="1">VLOOKUP($C69,$C$49:$Y$52,S$30,FALSE)*$C$59*$A69/8760/1000*IF(LEFT($C69,5)&lt;&gt;"Multi",VLOOKUP(RIGHT($D69,4),'Units Per Home'!$A$11:$B$12,2,FALSE),1)</f>
        <v>0.24500826529075262</v>
      </c>
      <c r="T69" s="45">
        <f ca="1">VLOOKUP($C69,$C$49:$Y$52,T$30,FALSE)*$C$59*$A69/8760/1000*IF(LEFT($C69,5)&lt;&gt;"Multi",VLOOKUP(RIGHT($D69,4),'Units Per Home'!$A$11:$B$12,2,FALSE),1)</f>
        <v>0.19696763001631795</v>
      </c>
      <c r="U69" s="45">
        <f ca="1">VLOOKUP($C69,$C$49:$Y$52,U$30,FALSE)*$C$59*$A69/8760/1000*IF(LEFT($C69,5)&lt;&gt;"Multi",VLOOKUP(RIGHT($D69,4),'Units Per Home'!$A$11:$B$12,2,FALSE),1)</f>
        <v>1.3499171398870986E-3</v>
      </c>
      <c r="V69" s="45">
        <f ca="1">VLOOKUP($C69,$C$49:$Y$52,V$30,FALSE)*$C$59*$A69/8760/1000*IF(LEFT($C69,5)&lt;&gt;"Multi",VLOOKUP(RIGHT($D69,4),'Units Per Home'!$A$11:$B$12,2,FALSE),1)</f>
        <v>4.8431041156071991E-4</v>
      </c>
      <c r="W69" s="45">
        <f ca="1">VLOOKUP($C69,$C$49:$Y$52,W$30,FALSE)*$C$59*$A69/8760/1000*IF(LEFT($C69,5)&lt;&gt;"Multi",VLOOKUP(RIGHT($D69,4),'Units Per Home'!$A$11:$B$12,2,FALSE),1)</f>
        <v>1.6585372530950949E-4</v>
      </c>
      <c r="X69" s="45">
        <f ca="1">VLOOKUP($C69,$C$49:$Y$52,X$30,FALSE)*$C$59*$A69/8760/1000*IF(LEFT($C69,5)&lt;&gt;"Multi",VLOOKUP(RIGHT($D69,4),'Units Per Home'!$A$11:$B$12,2,FALSE),1)</f>
        <v>5.432773535981259E-5</v>
      </c>
      <c r="Y69" s="26">
        <f ca="1">(VLOOKUP($C69,$C$40:$AA$43,$X$39+3,FALSE)+VLOOKUP($C69,$C$31:$AA$34,$X$30+3,FALSE))*$A69/8760/1000*IF(LEFT($C69,5)&lt;&gt;"Multi",VLOOKUP(RIGHT($D69,4),'Units Per Home'!$A$11:$B$12,2,FALSE),1)</f>
        <v>18.980846921221598</v>
      </c>
      <c r="AA69" s="26">
        <f t="shared" ca="1" si="29"/>
        <v>17.399717624235706</v>
      </c>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1:80">
      <c r="A70" s="67">
        <f t="shared" si="26"/>
        <v>71.364755458902735</v>
      </c>
      <c r="B70" s="67">
        <f t="shared" si="27"/>
        <v>-129.37879763441686</v>
      </c>
      <c r="C70" s="7" t="str">
        <f t="shared" ref="C70:C72" si="31">C62</f>
        <v>Multifamily - Low Rise</v>
      </c>
      <c r="D70" s="7" t="s">
        <v>624</v>
      </c>
      <c r="E70" s="45">
        <f ca="1">VLOOKUP($C70,$C$49:$Y$52,E$30,FALSE)*$C$59*$A70/8760/1000*IF(LEFT($C70,5)&lt;&gt;"Multi",VLOOKUP(RIGHT($D70,4),'Units Per Home'!$A$11:$B$12,2,FALSE),1)</f>
        <v>0.51046609385667252</v>
      </c>
      <c r="F70" s="45">
        <f ca="1">VLOOKUP($C70,$C$49:$Y$52,F$30,FALSE)*$C$59*$A70/8760/1000*IF(LEFT($C70,5)&lt;&gt;"Multi",VLOOKUP(RIGHT($D70,4),'Units Per Home'!$A$11:$B$12,2,FALSE),1)</f>
        <v>0.52144523285587197</v>
      </c>
      <c r="G70" s="45">
        <f ca="1">VLOOKUP($C70,$C$49:$Y$52,G$30,FALSE)*$C$59*$A70/8760/1000*IF(LEFT($C70,5)&lt;&gt;"Multi",VLOOKUP(RIGHT($D70,4),'Units Per Home'!$A$11:$B$12,2,FALSE),1)</f>
        <v>0.53160590460102164</v>
      </c>
      <c r="H70" s="45">
        <f ca="1">VLOOKUP($C70,$C$49:$Y$52,H$30,FALSE)*$C$59*$A70/8760/1000*IF(LEFT($C70,5)&lt;&gt;"Multi",VLOOKUP(RIGHT($D70,4),'Units Per Home'!$A$11:$B$12,2,FALSE),1)</f>
        <v>0.54099011712859579</v>
      </c>
      <c r="I70" s="45">
        <f ca="1">VLOOKUP($C70,$C$49:$Y$52,I$30,FALSE)*$C$59*$A70/8760/1000*IF(LEFT($C70,5)&lt;&gt;"Multi",VLOOKUP(RIGHT($D70,4),'Units Per Home'!$A$11:$B$12,2,FALSE),1)</f>
        <v>0.54938537917990615</v>
      </c>
      <c r="J70" s="45">
        <f ca="1">VLOOKUP($C70,$C$49:$Y$52,J$30,FALSE)*$C$59*$A70/8760/1000*IF(LEFT($C70,5)&lt;&gt;"Multi",VLOOKUP(RIGHT($D70,4),'Units Per Home'!$A$11:$B$12,2,FALSE),1)</f>
        <v>0.5009548460464992</v>
      </c>
      <c r="K70" s="45">
        <f ca="1">VLOOKUP($C70,$C$49:$Y$52,K$30,FALSE)*$C$59*$A70/8760/1000*IF(LEFT($C70,5)&lt;&gt;"Multi",VLOOKUP(RIGHT($D70,4),'Units Per Home'!$A$11:$B$12,2,FALSE),1)</f>
        <v>0.40536900991242297</v>
      </c>
      <c r="L70" s="45">
        <f ca="1">VLOOKUP($C70,$C$49:$Y$52,L$30,FALSE)*$C$59*$A70/8760/1000*IF(LEFT($C70,5)&lt;&gt;"Multi",VLOOKUP(RIGHT($D70,4),'Units Per Home'!$A$11:$B$12,2,FALSE),1)</f>
        <v>0.32769621983075042</v>
      </c>
      <c r="M70" s="45">
        <f ca="1">VLOOKUP($C70,$C$49:$Y$52,M$30,FALSE)*$C$59*$A70/8760/1000*IF(LEFT($C70,5)&lt;&gt;"Multi",VLOOKUP(RIGHT($D70,4),'Units Per Home'!$A$11:$B$12,2,FALSE),1)</f>
        <v>0.26477958112365035</v>
      </c>
      <c r="N70" s="45">
        <f ca="1">VLOOKUP($C70,$C$49:$Y$52,N$30,FALSE)*$C$59*$A70/8760/1000*IF(LEFT($C70,5)&lt;&gt;"Multi",VLOOKUP(RIGHT($D70,4),'Units Per Home'!$A$11:$B$12,2,FALSE),1)</f>
        <v>0.21387922478642049</v>
      </c>
      <c r="O70" s="45">
        <f ca="1">VLOOKUP($C70,$C$49:$Y$52,O$30,FALSE)*$C$59*$A70/8760/1000*IF(LEFT($C70,5)&lt;&gt;"Multi",VLOOKUP(RIGHT($D70,4),'Units Per Home'!$A$11:$B$12,2,FALSE),1)</f>
        <v>0.17273354676724853</v>
      </c>
      <c r="P70" s="45">
        <f ca="1">VLOOKUP($C70,$C$49:$Y$52,P$30,FALSE)*$C$59*$A70/8760/1000*IF(LEFT($C70,5)&lt;&gt;"Multi",VLOOKUP(RIGHT($D70,4),'Units Per Home'!$A$11:$B$12,2,FALSE),1)</f>
        <v>0.13945388541935264</v>
      </c>
      <c r="Q70" s="45">
        <f ca="1">VLOOKUP($C70,$C$49:$Y$52,Q$30,FALSE)*$C$59*$A70/8760/1000*IF(LEFT($C70,5)&lt;&gt;"Multi",VLOOKUP(RIGHT($D70,4),'Units Per Home'!$A$11:$B$12,2,FALSE),1)</f>
        <v>0.11254923715058669</v>
      </c>
      <c r="R70" s="45">
        <f ca="1">VLOOKUP($C70,$C$49:$Y$52,R$30,FALSE)*$C$59*$A70/8760/1000*IF(LEFT($C70,5)&lt;&gt;"Multi",VLOOKUP(RIGHT($D70,4),'Units Per Home'!$A$11:$B$12,2,FALSE),1)</f>
        <v>9.0812053564836598E-2</v>
      </c>
      <c r="S70" s="45">
        <f ca="1">VLOOKUP($C70,$C$49:$Y$52,S$30,FALSE)*$C$59*$A70/8760/1000*IF(LEFT($C70,5)&lt;&gt;"Multi",VLOOKUP(RIGHT($D70,4),'Units Per Home'!$A$11:$B$12,2,FALSE),1)</f>
        <v>7.3248372671378306E-2</v>
      </c>
      <c r="T70" s="45">
        <f ca="1">VLOOKUP($C70,$C$49:$Y$52,T$30,FALSE)*$C$59*$A70/8760/1000*IF(LEFT($C70,5)&lt;&gt;"Multi",VLOOKUP(RIGHT($D70,4),'Units Per Home'!$A$11:$B$12,2,FALSE),1)</f>
        <v>5.9063574738777019E-2</v>
      </c>
      <c r="U70" s="45">
        <f ca="1">VLOOKUP($C70,$C$49:$Y$52,U$30,FALSE)*$C$59*$A70/8760/1000*IF(LEFT($C70,5)&lt;&gt;"Multi",VLOOKUP(RIGHT($D70,4),'Units Per Home'!$A$11:$B$12,2,FALSE),1)</f>
        <v>4.0591249179909166E-4</v>
      </c>
      <c r="V70" s="45">
        <f ca="1">VLOOKUP($C70,$C$49:$Y$52,V$30,FALSE)*$C$59*$A70/8760/1000*IF(LEFT($C70,5)&lt;&gt;"Multi",VLOOKUP(RIGHT($D70,4),'Units Per Home'!$A$11:$B$12,2,FALSE),1)</f>
        <v>1.4603674312554319E-4</v>
      </c>
      <c r="W70" s="45">
        <f ca="1">VLOOKUP($C70,$C$49:$Y$52,W$30,FALSE)*$C$59*$A70/8760/1000*IF(LEFT($C70,5)&lt;&gt;"Multi",VLOOKUP(RIGHT($D70,4),'Units Per Home'!$A$11:$B$12,2,FALSE),1)</f>
        <v>5.0143782310247491E-5</v>
      </c>
      <c r="X70" s="45">
        <f ca="1">VLOOKUP($C70,$C$49:$Y$52,X$30,FALSE)*$C$59*$A70/8760/1000*IF(LEFT($C70,5)&lt;&gt;"Multi",VLOOKUP(RIGHT($D70,4),'Units Per Home'!$A$11:$B$12,2,FALSE),1)</f>
        <v>1.6465397132875043E-5</v>
      </c>
      <c r="Y70" s="26">
        <f ca="1">(VLOOKUP($C70,$C$40:$AA$43,$X$39+3,FALSE)+VLOOKUP($C70,$C$31:$AA$34,$X$30+3,FALSE))*$A70/8760/1000*IF(LEFT($C70,5)&lt;&gt;"Multi",VLOOKUP(RIGHT($D70,4),'Units Per Home'!$A$11:$B$12,2,FALSE),1)</f>
        <v>5.7526267275150458</v>
      </c>
      <c r="AA70" s="26">
        <f t="shared" ca="1" si="29"/>
        <v>5.0150508380483592</v>
      </c>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1:80">
      <c r="A71" s="67">
        <f t="shared" si="26"/>
        <v>71.364755458902735</v>
      </c>
      <c r="B71" s="67">
        <f t="shared" si="27"/>
        <v>-129.37879763441686</v>
      </c>
      <c r="C71" s="7" t="str">
        <f t="shared" si="31"/>
        <v>Multifamily - High Rise</v>
      </c>
      <c r="D71" s="7" t="s">
        <v>624</v>
      </c>
      <c r="E71" s="45">
        <f ca="1">VLOOKUP($C71,$C$49:$Y$52,E$30,FALSE)*$C$59*$A71/8760/1000*IF(LEFT($C71,5)&lt;&gt;"Multi",VLOOKUP(RIGHT($D71,4),'Units Per Home'!$A$11:$B$12,2,FALSE),1)</f>
        <v>0.11638440523639609</v>
      </c>
      <c r="F71" s="45">
        <f ca="1">VLOOKUP($C71,$C$49:$Y$52,F$30,FALSE)*$C$59*$A71/8760/1000*IF(LEFT($C71,5)&lt;&gt;"Multi",VLOOKUP(RIGHT($D71,4),'Units Per Home'!$A$11:$B$12,2,FALSE),1)</f>
        <v>0.11884506520713445</v>
      </c>
      <c r="G71" s="45">
        <f ca="1">VLOOKUP($C71,$C$49:$Y$52,G$30,FALSE)*$C$59*$A71/8760/1000*IF(LEFT($C71,5)&lt;&gt;"Multi",VLOOKUP(RIGHT($D71,4),'Units Per Home'!$A$11:$B$12,2,FALSE),1)</f>
        <v>0.12115776019595435</v>
      </c>
      <c r="H71" s="45">
        <f ca="1">VLOOKUP($C71,$C$49:$Y$52,H$30,FALSE)*$C$59*$A71/8760/1000*IF(LEFT($C71,5)&lt;&gt;"Multi",VLOOKUP(RIGHT($D71,4),'Units Per Home'!$A$11:$B$12,2,FALSE),1)</f>
        <v>0.12332980141378687</v>
      </c>
      <c r="I71" s="45">
        <f ca="1">VLOOKUP($C71,$C$49:$Y$52,I$30,FALSE)*$C$59*$A71/8760/1000*IF(LEFT($C71,5)&lt;&gt;"Multi",VLOOKUP(RIGHT($D71,4),'Units Per Home'!$A$11:$B$12,2,FALSE),1)</f>
        <v>0.12522244039199207</v>
      </c>
      <c r="J71" s="45">
        <f ca="1">VLOOKUP($C71,$C$49:$Y$52,J$30,FALSE)*$C$59*$A71/8760/1000*IF(LEFT($C71,5)&lt;&gt;"Multi",VLOOKUP(RIGHT($D71,4),'Units Per Home'!$A$11:$B$12,2,FALSE),1)</f>
        <v>0.11413407472411102</v>
      </c>
      <c r="K71" s="45">
        <f ca="1">VLOOKUP($C71,$C$49:$Y$52,K$30,FALSE)*$C$59*$A71/8760/1000*IF(LEFT($C71,5)&lt;&gt;"Multi",VLOOKUP(RIGHT($D71,4),'Units Per Home'!$A$11:$B$12,2,FALSE),1)</f>
        <v>9.2339271410710494E-2</v>
      </c>
      <c r="L71" s="45">
        <f ca="1">VLOOKUP($C71,$C$49:$Y$52,L$30,FALSE)*$C$59*$A71/8760/1000*IF(LEFT($C71,5)&lt;&gt;"Multi",VLOOKUP(RIGHT($D71,4),'Units Per Home'!$A$11:$B$12,2,FALSE),1)</f>
        <v>7.4636099840511644E-2</v>
      </c>
      <c r="M71" s="45">
        <f ca="1">VLOOKUP($C71,$C$49:$Y$52,M$30,FALSE)*$C$59*$A71/8760/1000*IF(LEFT($C71,5)&lt;&gt;"Multi",VLOOKUP(RIGHT($D71,4),'Units Per Home'!$A$11:$B$12,2,FALSE),1)</f>
        <v>6.0307317934715436E-2</v>
      </c>
      <c r="N71" s="45">
        <f ca="1">VLOOKUP($C71,$C$49:$Y$52,N$30,FALSE)*$C$59*$A71/8760/1000*IF(LEFT($C71,5)&lt;&gt;"Multi",VLOOKUP(RIGHT($D71,4),'Units Per Home'!$A$11:$B$12,2,FALSE),1)</f>
        <v>4.8710932430720368E-2</v>
      </c>
      <c r="O71" s="45">
        <f ca="1">VLOOKUP($C71,$C$49:$Y$52,O$30,FALSE)*$C$59*$A71/8760/1000*IF(LEFT($C71,5)&lt;&gt;"Multi",VLOOKUP(RIGHT($D71,4),'Units Per Home'!$A$11:$B$12,2,FALSE),1)</f>
        <v>3.9337527593922117E-2</v>
      </c>
      <c r="P71" s="45">
        <f ca="1">VLOOKUP($C71,$C$49:$Y$52,P$30,FALSE)*$C$59*$A71/8760/1000*IF(LEFT($C71,5)&lt;&gt;"Multi",VLOOKUP(RIGHT($D71,4),'Units Per Home'!$A$11:$B$12,2,FALSE),1)</f>
        <v>3.1752463391611828E-2</v>
      </c>
      <c r="Q71" s="45">
        <f ca="1">VLOOKUP($C71,$C$49:$Y$52,Q$30,FALSE)*$C$59*$A71/8760/1000*IF(LEFT($C71,5)&lt;&gt;"Multi",VLOOKUP(RIGHT($D71,4),'Units Per Home'!$A$11:$B$12,2,FALSE),1)</f>
        <v>2.5621249850424826E-2</v>
      </c>
      <c r="R71" s="45">
        <f ca="1">VLOOKUP($C71,$C$49:$Y$52,R$30,FALSE)*$C$59*$A71/8760/1000*IF(LEFT($C71,5)&lt;&gt;"Multi",VLOOKUP(RIGHT($D71,4),'Units Per Home'!$A$11:$B$12,2,FALSE),1)</f>
        <v>2.0666980727762685E-2</v>
      </c>
      <c r="S71" s="45">
        <f ca="1">VLOOKUP($C71,$C$49:$Y$52,S$30,FALSE)*$C$59*$A71/8760/1000*IF(LEFT($C71,5)&lt;&gt;"Multi",VLOOKUP(RIGHT($D71,4),'Units Per Home'!$A$11:$B$12,2,FALSE),1)</f>
        <v>1.666654964867632E-2</v>
      </c>
      <c r="T71" s="45">
        <f ca="1">VLOOKUP($C71,$C$49:$Y$52,T$30,FALSE)*$C$59*$A71/8760/1000*IF(LEFT($C71,5)&lt;&gt;"Multi",VLOOKUP(RIGHT($D71,4),'Units Per Home'!$A$11:$B$12,2,FALSE),1)</f>
        <v>1.3437074195102591E-2</v>
      </c>
      <c r="U71" s="45">
        <f ca="1">VLOOKUP($C71,$C$49:$Y$52,U$30,FALSE)*$C$59*$A71/8760/1000*IF(LEFT($C71,5)&lt;&gt;"Multi",VLOOKUP(RIGHT($D71,4),'Units Per Home'!$A$11:$B$12,2,FALSE),1)</f>
        <v>9.2332505484768216E-5</v>
      </c>
      <c r="V71" s="45">
        <f ca="1">VLOOKUP($C71,$C$49:$Y$52,V$30,FALSE)*$C$59*$A71/8760/1000*IF(LEFT($C71,5)&lt;&gt;"Multi",VLOOKUP(RIGHT($D71,4),'Units Per Home'!$A$11:$B$12,2,FALSE),1)</f>
        <v>3.3214536029399894E-5</v>
      </c>
      <c r="W71" s="45">
        <f ca="1">VLOOKUP($C71,$C$49:$Y$52,W$30,FALSE)*$C$59*$A71/8760/1000*IF(LEFT($C71,5)&lt;&gt;"Multi",VLOOKUP(RIGHT($D71,4),'Units Per Home'!$A$11:$B$12,2,FALSE),1)</f>
        <v>1.1402191375128982E-5</v>
      </c>
      <c r="X71" s="45">
        <f ca="1">VLOOKUP($C71,$C$49:$Y$52,X$30,FALSE)*$C$59*$A71/8760/1000*IF(LEFT($C71,5)&lt;&gt;"Multi",VLOOKUP(RIGHT($D71,4),'Units Per Home'!$A$11:$B$12,2,FALSE),1)</f>
        <v>3.7437754414949855E-6</v>
      </c>
      <c r="Y71" s="26">
        <f ca="1">(VLOOKUP($C71,$C$40:$AA$43,$X$39+3,FALSE)+VLOOKUP($C71,$C$31:$AA$34,$X$30+3,FALSE))*$A71/8760/1000*IF(LEFT($C71,5)&lt;&gt;"Multi",VLOOKUP(RIGHT($D71,4),'Units Per Home'!$A$11:$B$12,2,FALSE),1)</f>
        <v>1.3079880486792712</v>
      </c>
      <c r="AA71" s="26">
        <f t="shared" ca="1" si="29"/>
        <v>1.1426897072018638</v>
      </c>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1:80">
      <c r="A72" s="67">
        <f t="shared" si="26"/>
        <v>87.580628345785399</v>
      </c>
      <c r="B72" s="67">
        <f t="shared" si="27"/>
        <v>-138.56814270757619</v>
      </c>
      <c r="C72" s="7" t="str">
        <f t="shared" si="31"/>
        <v>Manufactured</v>
      </c>
      <c r="D72" s="7" t="s">
        <v>625</v>
      </c>
      <c r="E72" s="45">
        <f ca="1">VLOOKUP($C72,$C$49:$Y$52,E$30,FALSE)*$C$59*$A72/8760/1000*IF(LEFT($C72,5)&lt;&gt;"Multi",VLOOKUP(RIGHT($D72,4),'Units Per Home'!$A$11:$B$12,2,FALSE),1)</f>
        <v>0.26215051281918955</v>
      </c>
      <c r="F72" s="45">
        <f ca="1">VLOOKUP($C72,$C$49:$Y$52,F$30,FALSE)*$C$59*$A72/8760/1000*IF(LEFT($C72,5)&lt;&gt;"Multi",VLOOKUP(RIGHT($D72,4),'Units Per Home'!$A$11:$B$12,2,FALSE),1)</f>
        <v>0.2601786566353424</v>
      </c>
      <c r="G72" s="45">
        <f ca="1">VLOOKUP($C72,$C$49:$Y$52,G$30,FALSE)*$C$59*$A72/8760/1000*IF(LEFT($C72,5)&lt;&gt;"Multi",VLOOKUP(RIGHT($D72,4),'Units Per Home'!$A$11:$B$12,2,FALSE),1)</f>
        <v>0.25821490421616522</v>
      </c>
      <c r="H72" s="45">
        <f ca="1">VLOOKUP($C72,$C$49:$Y$52,H$30,FALSE)*$C$59*$A72/8760/1000*IF(LEFT($C72,5)&lt;&gt;"Multi",VLOOKUP(RIGHT($D72,4),'Units Per Home'!$A$11:$B$12,2,FALSE),1)</f>
        <v>0.25628144619476856</v>
      </c>
      <c r="I72" s="45">
        <f ca="1">VLOOKUP($C72,$C$49:$Y$52,I$30,FALSE)*$C$59*$A72/8760/1000*IF(LEFT($C72,5)&lt;&gt;"Multi",VLOOKUP(RIGHT($D72,4),'Units Per Home'!$A$11:$B$12,2,FALSE),1)</f>
        <v>0.25437790655654663</v>
      </c>
      <c r="J72" s="45">
        <f ca="1">VLOOKUP($C72,$C$49:$Y$52,J$30,FALSE)*$C$59*$A72/8760/1000*IF(LEFT($C72,5)&lt;&gt;"Multi",VLOOKUP(RIGHT($D72,4),'Units Per Home'!$A$11:$B$12,2,FALSE),1)</f>
        <v>0.2272052461705214</v>
      </c>
      <c r="K72" s="45">
        <f ca="1">VLOOKUP($C72,$C$49:$Y$52,K$30,FALSE)*$C$59*$A72/8760/1000*IF(LEFT($C72,5)&lt;&gt;"Multi",VLOOKUP(RIGHT($D72,4),'Units Per Home'!$A$11:$B$12,2,FALSE),1)</f>
        <v>0.18037025445739388</v>
      </c>
      <c r="L72" s="45">
        <f ca="1">VLOOKUP($C72,$C$49:$Y$52,L$30,FALSE)*$C$59*$A72/8760/1000*IF(LEFT($C72,5)&lt;&gt;"Multi",VLOOKUP(RIGHT($D72,4),'Units Per Home'!$A$11:$B$12,2,FALSE),1)</f>
        <v>0.14318714013293729</v>
      </c>
      <c r="M72" s="45">
        <f ca="1">VLOOKUP($C72,$C$49:$Y$52,M$30,FALSE)*$C$59*$A72/8760/1000*IF(LEFT($C72,5)&lt;&gt;"Multi",VLOOKUP(RIGHT($D72,4),'Units Per Home'!$A$11:$B$12,2,FALSE),1)</f>
        <v>0.11366973467329509</v>
      </c>
      <c r="N72" s="45">
        <f ca="1">VLOOKUP($C72,$C$49:$Y$52,N$30,FALSE)*$C$59*$A72/8760/1000*IF(LEFT($C72,5)&lt;&gt;"Multi",VLOOKUP(RIGHT($D72,4),'Units Per Home'!$A$11:$B$12,2,FALSE),1)</f>
        <v>9.023862238036931E-2</v>
      </c>
      <c r="O72" s="45">
        <f ca="1">VLOOKUP($C72,$C$49:$Y$52,O$30,FALSE)*$C$59*$A72/8760/1000*IF(LEFT($C72,5)&lt;&gt;"Multi",VLOOKUP(RIGHT($D72,4),'Units Per Home'!$A$11:$B$12,2,FALSE),1)</f>
        <v>7.1638311308857672E-2</v>
      </c>
      <c r="P72" s="45">
        <f ca="1">VLOOKUP($C72,$C$49:$Y$52,P$30,FALSE)*$C$59*$A72/8760/1000*IF(LEFT($C72,5)&lt;&gt;"Multi",VLOOKUP(RIGHT($D72,4),'Units Per Home'!$A$11:$B$12,2,FALSE),1)</f>
        <v>5.6872176880035138E-2</v>
      </c>
      <c r="Q72" s="45">
        <f ca="1">VLOOKUP($C72,$C$49:$Y$52,Q$30,FALSE)*$C$59*$A72/8760/1000*IF(LEFT($C72,5)&lt;&gt;"Multi",VLOOKUP(RIGHT($D72,4),'Units Per Home'!$A$11:$B$12,2,FALSE),1)</f>
        <v>4.5150653666873701E-2</v>
      </c>
      <c r="R72" s="45">
        <f ca="1">VLOOKUP($C72,$C$49:$Y$52,R$30,FALSE)*$C$59*$A72/8760/1000*IF(LEFT($C72,5)&lt;&gt;"Multi",VLOOKUP(RIGHT($D72,4),'Units Per Home'!$A$11:$B$12,2,FALSE),1)</f>
        <v>3.5846204868925861E-2</v>
      </c>
      <c r="S72" s="45">
        <f ca="1">VLOOKUP($C72,$C$49:$Y$52,S$30,FALSE)*$C$59*$A72/8760/1000*IF(LEFT($C72,5)&lt;&gt;"Multi",VLOOKUP(RIGHT($D72,4),'Units Per Home'!$A$11:$B$12,2,FALSE),1)</f>
        <v>2.8460259854588374E-2</v>
      </c>
      <c r="T72" s="45">
        <f ca="1">VLOOKUP($C72,$C$49:$Y$52,T$30,FALSE)*$C$59*$A72/8760/1000*IF(LEFT($C72,5)&lt;&gt;"Multi",VLOOKUP(RIGHT($D72,4),'Units Per Home'!$A$11:$B$12,2,FALSE),1)</f>
        <v>2.2597053296862339E-2</v>
      </c>
      <c r="U72" s="45">
        <f ca="1">VLOOKUP($C72,$C$49:$Y$52,U$30,FALSE)*$C$59*$A72/8760/1000*IF(LEFT($C72,5)&lt;&gt;"Multi",VLOOKUP(RIGHT($D72,4),'Units Per Home'!$A$11:$B$12,2,FALSE),1)</f>
        <v>1.5297679738043922E-4</v>
      </c>
      <c r="V72" s="45">
        <f ca="1">VLOOKUP($C72,$C$49:$Y$52,V$30,FALSE)*$C$59*$A72/8760/1000*IF(LEFT($C72,5)&lt;&gt;"Multi",VLOOKUP(RIGHT($D72,4),'Units Per Home'!$A$11:$B$12,2,FALSE),1)</f>
        <v>5.422888001249357E-5</v>
      </c>
      <c r="W72" s="45">
        <f ca="1">VLOOKUP($C72,$C$49:$Y$52,W$30,FALSE)*$C$59*$A72/8760/1000*IF(LEFT($C72,5)&lt;&gt;"Multi",VLOOKUP(RIGHT($D72,4),'Units Per Home'!$A$11:$B$12,2,FALSE),1)</f>
        <v>1.8350842978684024E-5</v>
      </c>
      <c r="X72" s="45">
        <f ca="1">VLOOKUP($C72,$C$49:$Y$52,X$30,FALSE)*$C$59*$A72/8760/1000*IF(LEFT($C72,5)&lt;&gt;"Multi",VLOOKUP(RIGHT($D72,4),'Units Per Home'!$A$11:$B$12,2,FALSE),1)</f>
        <v>5.9401906789351699E-6</v>
      </c>
      <c r="Y72" s="26">
        <f ca="1">(VLOOKUP($C72,$C$40:$AA$43,$X$39+3,FALSE)+VLOOKUP($C72,$C$31:$AA$34,$X$30+3,FALSE))*$A72/8760/1000*IF(LEFT($C72,5)&lt;&gt;"Multi",VLOOKUP(RIGHT($D72,4),'Units Per Home'!$A$11:$B$12,2,FALSE),1)</f>
        <v>2.0753644379430427</v>
      </c>
      <c r="AA72" s="26">
        <f t="shared" ca="1" si="29"/>
        <v>2.306670580823722</v>
      </c>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1:80">
      <c r="A73" s="67">
        <f t="shared" si="26"/>
        <v>186.98267334641028</v>
      </c>
      <c r="B73" s="67">
        <f t="shared" si="27"/>
        <v>-231.84961524302932</v>
      </c>
      <c r="C73" s="7" t="s">
        <v>48</v>
      </c>
      <c r="D73" s="7" t="s">
        <v>614</v>
      </c>
      <c r="E73" s="45">
        <f ca="1">VLOOKUP($C73,$C$49:$Y$52,E$30,FALSE)*$C$59*$A73/8760/1000*IF(LEFT($C73,5)&lt;&gt;"Multi",VLOOKUP(RIGHT($D73,4),'Units Per Home'!$A$11:$B$12,2,FALSE),1)</f>
        <v>0.78726534045849894</v>
      </c>
      <c r="F73" s="45">
        <f ca="1">VLOOKUP($C73,$C$49:$Y$52,F$30,FALSE)*$C$59*$A73/8760/1000*IF(LEFT($C73,5)&lt;&gt;"Multi",VLOOKUP(RIGHT($D73,4),'Units Per Home'!$A$11:$B$12,2,FALSE),1)</f>
        <v>0.79851192880961175</v>
      </c>
      <c r="G73" s="45">
        <f ca="1">VLOOKUP($C73,$C$49:$Y$52,G$30,FALSE)*$C$59*$A73/8760/1000*IF(LEFT($C73,5)&lt;&gt;"Multi",VLOOKUP(RIGHT($D73,4),'Units Per Home'!$A$11:$B$12,2,FALSE),1)</f>
        <v>0.80856793379553449</v>
      </c>
      <c r="H73" s="45">
        <f ca="1">VLOOKUP($C73,$C$49:$Y$52,H$30,FALSE)*$C$59*$A73/8760/1000*IF(LEFT($C73,5)&lt;&gt;"Multi",VLOOKUP(RIGHT($D73,4),'Units Per Home'!$A$11:$B$12,2,FALSE),1)</f>
        <v>0.81741492747136202</v>
      </c>
      <c r="I73" s="45">
        <f ca="1">VLOOKUP($C73,$C$49:$Y$52,I$30,FALSE)*$C$59*$A73/8760/1000*IF(LEFT($C73,5)&lt;&gt;"Multi",VLOOKUP(RIGHT($D73,4),'Units Per Home'!$A$11:$B$12,2,FALSE),1)</f>
        <v>0.82534417523370085</v>
      </c>
      <c r="J73" s="45">
        <f ca="1">VLOOKUP($C73,$C$49:$Y$52,J$30,FALSE)*$C$59*$A73/8760/1000*IF(LEFT($C73,5)&lt;&gt;"Multi",VLOOKUP(RIGHT($D73,4),'Units Per Home'!$A$11:$B$12,2,FALSE),1)</f>
        <v>0.74921041800100097</v>
      </c>
      <c r="K73" s="45">
        <f ca="1">VLOOKUP($C73,$C$49:$Y$52,K$30,FALSE)*$C$59*$A73/8760/1000*IF(LEFT($C73,5)&lt;&gt;"Multi",VLOOKUP(RIGHT($D73,4),'Units Per Home'!$A$11:$B$12,2,FALSE),1)</f>
        <v>0.60384374642447192</v>
      </c>
      <c r="L73" s="45">
        <f ca="1">VLOOKUP($C73,$C$49:$Y$52,L$30,FALSE)*$C$59*$A73/8760/1000*IF(LEFT($C73,5)&lt;&gt;"Multi",VLOOKUP(RIGHT($D73,4),'Units Per Home'!$A$11:$B$12,2,FALSE),1)</f>
        <v>0.4863141700473676</v>
      </c>
      <c r="M73" s="45">
        <f ca="1">VLOOKUP($C73,$C$49:$Y$52,M$30,FALSE)*$C$59*$A73/8760/1000*IF(LEFT($C73,5)&lt;&gt;"Multi",VLOOKUP(RIGHT($D73,4),'Units Per Home'!$A$11:$B$12,2,FALSE),1)</f>
        <v>0.39149106417227825</v>
      </c>
      <c r="N73" s="45">
        <f ca="1">VLOOKUP($C73,$C$49:$Y$52,N$30,FALSE)*$C$59*$A73/8760/1000*IF(LEFT($C73,5)&lt;&gt;"Multi",VLOOKUP(RIGHT($D73,4),'Units Per Home'!$A$11:$B$12,2,FALSE),1)</f>
        <v>0.31503240357880707</v>
      </c>
      <c r="O73" s="45">
        <f ca="1">VLOOKUP($C73,$C$49:$Y$52,O$30,FALSE)*$C$59*$A73/8760/1000*IF(LEFT($C73,5)&lt;&gt;"Multi",VLOOKUP(RIGHT($D73,4),'Units Per Home'!$A$11:$B$12,2,FALSE),1)</f>
        <v>0.25347749969291078</v>
      </c>
      <c r="P73" s="45">
        <f ca="1">VLOOKUP($C73,$C$49:$Y$52,P$30,FALSE)*$C$59*$A73/8760/1000*IF(LEFT($C73,5)&lt;&gt;"Multi",VLOOKUP(RIGHT($D73,4),'Units Per Home'!$A$11:$B$12,2,FALSE),1)</f>
        <v>0.20391872049849949</v>
      </c>
      <c r="Q73" s="45">
        <f ca="1">VLOOKUP($C73,$C$49:$Y$52,Q$30,FALSE)*$C$59*$A73/8760/1000*IF(LEFT($C73,5)&lt;&gt;"Multi",VLOOKUP(RIGHT($D73,4),'Units Per Home'!$A$11:$B$12,2,FALSE),1)</f>
        <v>0.16400614840790984</v>
      </c>
      <c r="R73" s="45">
        <f ca="1">VLOOKUP($C73,$C$49:$Y$52,R$30,FALSE)*$C$59*$A73/8760/1000*IF(LEFT($C73,5)&lt;&gt;"Multi",VLOOKUP(RIGHT($D73,4),'Units Per Home'!$A$11:$B$12,2,FALSE),1)</f>
        <v>0.13186265922064663</v>
      </c>
      <c r="S73" s="45">
        <f ca="1">VLOOKUP($C73,$C$49:$Y$52,S$30,FALSE)*$C$59*$A73/8760/1000*IF(LEFT($C73,5)&lt;&gt;"Multi",VLOOKUP(RIGHT($D73,4),'Units Per Home'!$A$11:$B$12,2,FALSE),1)</f>
        <v>0.1060083605395397</v>
      </c>
      <c r="T73" s="45">
        <f ca="1">VLOOKUP($C73,$C$49:$Y$52,T$30,FALSE)*$C$59*$A73/8760/1000*IF(LEFT($C73,5)&lt;&gt;"Multi",VLOOKUP(RIGHT($D73,4),'Units Per Home'!$A$11:$B$12,2,FALSE),1)</f>
        <v>8.522249448446087E-2</v>
      </c>
      <c r="U73" s="45">
        <f ca="1">VLOOKUP($C73,$C$49:$Y$52,U$30,FALSE)*$C$59*$A73/8760/1000*IF(LEFT($C73,5)&lt;&gt;"Multi",VLOOKUP(RIGHT($D73,4),'Units Per Home'!$A$11:$B$12,2,FALSE),1)</f>
        <v>5.8407214423495171E-4</v>
      </c>
      <c r="V73" s="45">
        <f ca="1">VLOOKUP($C73,$C$49:$Y$52,V$30,FALSE)*$C$59*$A73/8760/1000*IF(LEFT($C73,5)&lt;&gt;"Multi",VLOOKUP(RIGHT($D73,4),'Units Per Home'!$A$11:$B$12,2,FALSE),1)</f>
        <v>2.0954783978758868E-4</v>
      </c>
      <c r="W73" s="45">
        <f ca="1">VLOOKUP($C73,$C$49:$Y$52,W$30,FALSE)*$C$59*$A73/8760/1000*IF(LEFT($C73,5)&lt;&gt;"Multi",VLOOKUP(RIGHT($D73,4),'Units Per Home'!$A$11:$B$12,2,FALSE),1)</f>
        <v>7.1760360772203945E-5</v>
      </c>
      <c r="X73" s="45">
        <f ca="1">VLOOKUP($C73,$C$49:$Y$52,X$30,FALSE)*$C$59*$A73/8760/1000*IF(LEFT($C73,5)&lt;&gt;"Multi",VLOOKUP(RIGHT($D73,4),'Units Per Home'!$A$11:$B$12,2,FALSE),1)</f>
        <v>2.3506121928112282E-5</v>
      </c>
      <c r="Y73" s="26">
        <f ca="1">(VLOOKUP($C73,$C$40:$AA$43,$X$39+3,FALSE)+VLOOKUP($C73,$C$31:$AA$34,$X$30+3,FALSE))*$A73/8760/1000*IF(LEFT($C73,5)&lt;&gt;"Multi",VLOOKUP(RIGHT($D73,4),'Units Per Home'!$A$11:$B$12,2,FALSE),1)</f>
        <v>8.2124921842243452</v>
      </c>
      <c r="AA73" s="26">
        <f ca="1">SUM(E73:X73)</f>
        <v>7.5283808773033245</v>
      </c>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1:80">
      <c r="A74" s="67">
        <f t="shared" si="26"/>
        <v>172.41674324464179</v>
      </c>
      <c r="B74" s="67">
        <f t="shared" si="27"/>
        <v>-229.40191815461955</v>
      </c>
      <c r="C74" s="7" t="str">
        <f>C64</f>
        <v>Manufactured</v>
      </c>
      <c r="D74" s="7" t="s">
        <v>615</v>
      </c>
      <c r="E74" s="45">
        <f ca="1">VLOOKUP($C74,$C$49:$Y$52,E$30,FALSE)*$C$59*$A74/8760/1000*IF(LEFT($C74,5)&lt;&gt;"Multi",VLOOKUP(RIGHT($D74,4),'Units Per Home'!$A$11:$B$12,2,FALSE),1)</f>
        <v>7.0375365971460282E-2</v>
      </c>
      <c r="F74" s="45">
        <f ca="1">VLOOKUP($C74,$C$49:$Y$52,F$30,FALSE)*$C$59*$A74/8760/1000*IF(LEFT($C74,5)&lt;&gt;"Multi",VLOOKUP(RIGHT($D74,4),'Units Per Home'!$A$11:$B$12,2,FALSE),1)</f>
        <v>6.984601319969197E-2</v>
      </c>
      <c r="G74" s="45">
        <f ca="1">VLOOKUP($C74,$C$49:$Y$52,G$30,FALSE)*$C$59*$A74/8760/1000*IF(LEFT($C74,5)&lt;&gt;"Multi",VLOOKUP(RIGHT($D74,4),'Units Per Home'!$A$11:$B$12,2,FALSE),1)</f>
        <v>6.9318835916341567E-2</v>
      </c>
      <c r="H74" s="45">
        <f ca="1">VLOOKUP($C74,$C$49:$Y$52,H$30,FALSE)*$C$59*$A74/8760/1000*IF(LEFT($C74,5)&lt;&gt;"Multi",VLOOKUP(RIGHT($D74,4),'Units Per Home'!$A$11:$B$12,2,FALSE),1)</f>
        <v>6.8799791286663123E-2</v>
      </c>
      <c r="I74" s="45">
        <f ca="1">VLOOKUP($C74,$C$49:$Y$52,I$30,FALSE)*$C$59*$A74/8760/1000*IF(LEFT($C74,5)&lt;&gt;"Multi",VLOOKUP(RIGHT($D74,4),'Units Per Home'!$A$11:$B$12,2,FALSE),1)</f>
        <v>6.8288778368014211E-2</v>
      </c>
      <c r="J74" s="45">
        <f ca="1">VLOOKUP($C74,$C$49:$Y$52,J$30,FALSE)*$C$59*$A74/8760/1000*IF(LEFT($C74,5)&lt;&gt;"Multi",VLOOKUP(RIGHT($D74,4),'Units Per Home'!$A$11:$B$12,2,FALSE),1)</f>
        <v>6.0994167731857743E-2</v>
      </c>
      <c r="K74" s="45">
        <f ca="1">VLOOKUP($C74,$C$49:$Y$52,K$30,FALSE)*$C$59*$A74/8760/1000*IF(LEFT($C74,5)&lt;&gt;"Multi",VLOOKUP(RIGHT($D74,4),'Units Per Home'!$A$11:$B$12,2,FALSE),1)</f>
        <v>4.8421124686334513E-2</v>
      </c>
      <c r="L74" s="45">
        <f ca="1">VLOOKUP($C74,$C$49:$Y$52,L$30,FALSE)*$C$59*$A74/8760/1000*IF(LEFT($C74,5)&lt;&gt;"Multi",VLOOKUP(RIGHT($D74,4),'Units Per Home'!$A$11:$B$12,2,FALSE),1)</f>
        <v>3.8439167182604123E-2</v>
      </c>
      <c r="M74" s="45">
        <f ca="1">VLOOKUP($C74,$C$49:$Y$52,M$30,FALSE)*$C$59*$A74/8760/1000*IF(LEFT($C74,5)&lt;&gt;"Multi",VLOOKUP(RIGHT($D74,4),'Units Per Home'!$A$11:$B$12,2,FALSE),1)</f>
        <v>3.051510024330709E-2</v>
      </c>
      <c r="N74" s="45">
        <f ca="1">VLOOKUP($C74,$C$49:$Y$52,N$30,FALSE)*$C$59*$A74/8760/1000*IF(LEFT($C74,5)&lt;&gt;"Multi",VLOOKUP(RIGHT($D74,4),'Units Per Home'!$A$11:$B$12,2,FALSE),1)</f>
        <v>2.4224923333104508E-2</v>
      </c>
      <c r="O74" s="45">
        <f ca="1">VLOOKUP($C74,$C$49:$Y$52,O$30,FALSE)*$C$59*$A74/8760/1000*IF(LEFT($C74,5)&lt;&gt;"Multi",VLOOKUP(RIGHT($D74,4),'Units Per Home'!$A$11:$B$12,2,FALSE),1)</f>
        <v>1.9231594558869067E-2</v>
      </c>
      <c r="P74" s="45">
        <f ca="1">VLOOKUP($C74,$C$49:$Y$52,P$30,FALSE)*$C$59*$A74/8760/1000*IF(LEFT($C74,5)&lt;&gt;"Multi",VLOOKUP(RIGHT($D74,4),'Units Per Home'!$A$11:$B$12,2,FALSE),1)</f>
        <v>1.5267566019550883E-2</v>
      </c>
      <c r="Q74" s="45">
        <f ca="1">VLOOKUP($C74,$C$49:$Y$52,Q$30,FALSE)*$C$59*$A74/8760/1000*IF(LEFT($C74,5)&lt;&gt;"Multi",VLOOKUP(RIGHT($D74,4),'Units Per Home'!$A$11:$B$12,2,FALSE),1)</f>
        <v>1.2120875681248327E-2</v>
      </c>
      <c r="R74" s="45">
        <f ca="1">VLOOKUP($C74,$C$49:$Y$52,R$30,FALSE)*$C$59*$A74/8760/1000*IF(LEFT($C74,5)&lt;&gt;"Multi",VLOOKUP(RIGHT($D74,4),'Units Per Home'!$A$11:$B$12,2,FALSE),1)</f>
        <v>9.6230587505222575E-3</v>
      </c>
      <c r="S74" s="45">
        <f ca="1">VLOOKUP($C74,$C$49:$Y$52,S$30,FALSE)*$C$59*$A74/8760/1000*IF(LEFT($C74,5)&lt;&gt;"Multi",VLOOKUP(RIGHT($D74,4),'Units Per Home'!$A$11:$B$12,2,FALSE),1)</f>
        <v>7.6402719238278091E-3</v>
      </c>
      <c r="T74" s="45">
        <f ca="1">VLOOKUP($C74,$C$49:$Y$52,T$30,FALSE)*$C$59*$A74/8760/1000*IF(LEFT($C74,5)&lt;&gt;"Multi",VLOOKUP(RIGHT($D74,4),'Units Per Home'!$A$11:$B$12,2,FALSE),1)</f>
        <v>6.0662703976479557E-3</v>
      </c>
      <c r="U74" s="45">
        <f ca="1">VLOOKUP($C74,$C$49:$Y$52,U$30,FALSE)*$C$59*$A74/8760/1000*IF(LEFT($C74,5)&lt;&gt;"Multi",VLOOKUP(RIGHT($D74,4),'Units Per Home'!$A$11:$B$12,2,FALSE),1)</f>
        <v>4.1067240285033229E-5</v>
      </c>
      <c r="V74" s="45">
        <f ca="1">VLOOKUP($C74,$C$49:$Y$52,V$30,FALSE)*$C$59*$A74/8760/1000*IF(LEFT($C74,5)&lt;&gt;"Multi",VLOOKUP(RIGHT($D74,4),'Units Per Home'!$A$11:$B$12,2,FALSE),1)</f>
        <v>1.4557962279226494E-5</v>
      </c>
      <c r="W74" s="45">
        <f ca="1">VLOOKUP($C74,$C$49:$Y$52,W$30,FALSE)*$C$59*$A74/8760/1000*IF(LEFT($C74,5)&lt;&gt;"Multi",VLOOKUP(RIGHT($D74,4),'Units Per Home'!$A$11:$B$12,2,FALSE),1)</f>
        <v>4.9263580552307665E-6</v>
      </c>
      <c r="X74" s="45">
        <f ca="1">VLOOKUP($C74,$C$49:$Y$52,X$30,FALSE)*$C$59*$A74/8760/1000*IF(LEFT($C74,5)&lt;&gt;"Multi",VLOOKUP(RIGHT($D74,4),'Units Per Home'!$A$11:$B$12,2,FALSE),1)</f>
        <v>1.5946682250385389E-6</v>
      </c>
      <c r="Y74" s="26">
        <f ca="1">(VLOOKUP($C74,$C$40:$AA$43,$X$39+3,FALSE)+VLOOKUP($C74,$C$31:$AA$34,$X$30+3,FALSE))*$A74/8760/1000*IF(LEFT($C74,5)&lt;&gt;"Multi",VLOOKUP(RIGHT($D74,4),'Units Per Home'!$A$11:$B$12,2,FALSE),1)</f>
        <v>0.55713998143170673</v>
      </c>
      <c r="AA74" s="26">
        <f ca="1">SUM(E74:X74)</f>
        <v>0.61923505147989</v>
      </c>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1:80">
      <c r="Y75" s="26"/>
      <c r="AA75" s="32"/>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1:80">
      <c r="B76" s="65">
        <f ca="1">SUMPRODUCT(B61:B72,AA61:AA72)/SUM(AA61:AA72)</f>
        <v>-192.08135521462503</v>
      </c>
      <c r="E76" s="26">
        <f ca="1">SUM(E61:E74)</f>
        <v>10.532103129919578</v>
      </c>
      <c r="F76" s="26">
        <f t="shared" ref="F76:X76" ca="1" si="32">SUM(F61:F74)</f>
        <v>10.676618938235835</v>
      </c>
      <c r="G76" s="26">
        <f t="shared" ca="1" si="32"/>
        <v>10.806695190951267</v>
      </c>
      <c r="H76" s="26">
        <f t="shared" ca="1" si="32"/>
        <v>10.92242273436457</v>
      </c>
      <c r="I76" s="26">
        <f t="shared" ca="1" si="32"/>
        <v>11.025241259669798</v>
      </c>
      <c r="J76" s="26">
        <f t="shared" ca="1" si="32"/>
        <v>10.003657177992711</v>
      </c>
      <c r="K76" s="26">
        <f t="shared" ca="1" si="32"/>
        <v>8.0591253504553571</v>
      </c>
      <c r="L76" s="26">
        <f t="shared" ca="1" si="32"/>
        <v>6.4878972074332601</v>
      </c>
      <c r="M76" s="26">
        <f t="shared" ca="1" si="32"/>
        <v>5.2210218024874226</v>
      </c>
      <c r="N76" s="26">
        <f t="shared" ca="1" si="32"/>
        <v>4.2001674452828386</v>
      </c>
      <c r="O76" s="26">
        <f t="shared" ca="1" si="32"/>
        <v>3.3785852982306213</v>
      </c>
      <c r="P76" s="26">
        <f t="shared" ca="1" si="32"/>
        <v>2.7172385998461572</v>
      </c>
      <c r="Q76" s="26">
        <f t="shared" ca="1" si="32"/>
        <v>2.1848256654990048</v>
      </c>
      <c r="R76" s="26">
        <f t="shared" ca="1" si="32"/>
        <v>1.7562610274813713</v>
      </c>
      <c r="S76" s="26">
        <f t="shared" ca="1" si="32"/>
        <v>1.4115860396507924</v>
      </c>
      <c r="T76" s="26">
        <f t="shared" ca="1" si="32"/>
        <v>1.1344909261739133</v>
      </c>
      <c r="U76" s="26">
        <f t="shared" ca="1" si="32"/>
        <v>7.7728271638375472E-3</v>
      </c>
      <c r="V76" s="26">
        <f t="shared" ca="1" si="32"/>
        <v>2.787916461545257E-3</v>
      </c>
      <c r="W76" s="26">
        <f t="shared" ca="1" si="32"/>
        <v>9.5446039988097671E-4</v>
      </c>
      <c r="X76" s="26">
        <f t="shared" ca="1" si="32"/>
        <v>3.1254942765834251E-4</v>
      </c>
      <c r="Y76" s="26">
        <f ca="1">SUM(Y61:Y74)</f>
        <v>109.19749925903939</v>
      </c>
      <c r="AA76" s="32">
        <f ca="1">SUM(E76:X76)</f>
        <v>100.52976554712743</v>
      </c>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1:80">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D78" s="26"/>
      <c r="E78" s="26">
        <f ca="1">SUM(E61:E73)</f>
        <v>10.461727763948119</v>
      </c>
      <c r="F78" s="26">
        <f ca="1">F76+E78</f>
        <v>21.138346702183952</v>
      </c>
      <c r="G78" s="26">
        <f t="shared" ref="G78:X78" ca="1" si="33">G76+F78</f>
        <v>31.945041893135219</v>
      </c>
      <c r="H78" s="26">
        <f t="shared" ca="1" si="33"/>
        <v>42.867464627499785</v>
      </c>
      <c r="I78" s="26">
        <f t="shared" ca="1" si="33"/>
        <v>53.892705887169583</v>
      </c>
      <c r="J78" s="26">
        <f t="shared" ca="1" si="33"/>
        <v>63.896363065162291</v>
      </c>
      <c r="K78" s="26">
        <f t="shared" ca="1" si="33"/>
        <v>71.955488415617651</v>
      </c>
      <c r="L78" s="26">
        <f t="shared" ca="1" si="33"/>
        <v>78.443385623050915</v>
      </c>
      <c r="M78" s="26">
        <f t="shared" ca="1" si="33"/>
        <v>83.664407425538343</v>
      </c>
      <c r="N78" s="26">
        <f t="shared" ca="1" si="33"/>
        <v>87.864574870821187</v>
      </c>
      <c r="O78" s="26">
        <f t="shared" ca="1" si="33"/>
        <v>91.243160169051805</v>
      </c>
      <c r="P78" s="26">
        <f t="shared" ca="1" si="33"/>
        <v>93.96039876889796</v>
      </c>
      <c r="Q78" s="26">
        <f t="shared" ca="1" si="33"/>
        <v>96.145224434396965</v>
      </c>
      <c r="R78" s="26">
        <f t="shared" ca="1" si="33"/>
        <v>97.901485461878337</v>
      </c>
      <c r="S78" s="26">
        <f t="shared" ca="1" si="33"/>
        <v>99.313071501529123</v>
      </c>
      <c r="T78" s="26">
        <f t="shared" ca="1" si="33"/>
        <v>100.44756242770303</v>
      </c>
      <c r="U78" s="26">
        <f t="shared" ca="1" si="33"/>
        <v>100.45533525486687</v>
      </c>
      <c r="V78" s="26">
        <f t="shared" ca="1" si="33"/>
        <v>100.45812317132841</v>
      </c>
      <c r="W78" s="26">
        <f t="shared" ca="1" si="33"/>
        <v>100.45907763172829</v>
      </c>
      <c r="X78" s="26">
        <f t="shared" ca="1" si="33"/>
        <v>100.45939018115595</v>
      </c>
      <c r="Y78" s="26"/>
      <c r="Z78" s="26"/>
      <c r="AA78" s="26">
        <f ca="1">SUM(AA61:AA73)</f>
        <v>99.910530495647521</v>
      </c>
      <c r="AB78" s="46"/>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1:79" ht="15">
      <c r="A81" s="53" t="s">
        <v>76</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1:79" ht="15">
      <c r="E82" s="56">
        <f t="shared" ref="E82:X82" si="34">E11</f>
        <v>2016</v>
      </c>
      <c r="F82" s="57">
        <f t="shared" si="34"/>
        <v>2017</v>
      </c>
      <c r="G82" s="57">
        <f t="shared" si="34"/>
        <v>2018</v>
      </c>
      <c r="H82" s="57">
        <f t="shared" si="34"/>
        <v>2019</v>
      </c>
      <c r="I82" s="57">
        <f t="shared" si="34"/>
        <v>2020</v>
      </c>
      <c r="J82" s="57">
        <f t="shared" si="34"/>
        <v>2021</v>
      </c>
      <c r="K82" s="57">
        <f t="shared" si="34"/>
        <v>2022</v>
      </c>
      <c r="L82" s="57">
        <f t="shared" si="34"/>
        <v>2023</v>
      </c>
      <c r="M82" s="57">
        <f t="shared" si="34"/>
        <v>2024</v>
      </c>
      <c r="N82" s="57">
        <f t="shared" si="34"/>
        <v>2025</v>
      </c>
      <c r="O82" s="57">
        <f t="shared" si="34"/>
        <v>2026</v>
      </c>
      <c r="P82" s="57">
        <f t="shared" si="34"/>
        <v>2027</v>
      </c>
      <c r="Q82" s="57">
        <f t="shared" si="34"/>
        <v>2028</v>
      </c>
      <c r="R82" s="57">
        <f t="shared" si="34"/>
        <v>2029</v>
      </c>
      <c r="S82" s="57">
        <f t="shared" si="34"/>
        <v>2030</v>
      </c>
      <c r="T82" s="57">
        <f t="shared" si="34"/>
        <v>2031</v>
      </c>
      <c r="U82" s="57">
        <f t="shared" si="34"/>
        <v>2032</v>
      </c>
      <c r="V82" s="57">
        <f t="shared" si="34"/>
        <v>2033</v>
      </c>
      <c r="W82" s="57">
        <f t="shared" si="34"/>
        <v>2034</v>
      </c>
      <c r="X82" s="57">
        <f t="shared" si="34"/>
        <v>2035</v>
      </c>
      <c r="Y82" s="57" t="s">
        <v>68</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1:79" ht="15">
      <c r="C83" s="47" t="s">
        <v>73</v>
      </c>
      <c r="D83" s="47" t="s">
        <v>73</v>
      </c>
      <c r="E83" s="59" t="str">
        <f>CONCATENATE("aMW_",E$11)</f>
        <v>aMW_2016</v>
      </c>
      <c r="F83" s="60" t="str">
        <f t="shared" ref="F83:X83" si="35">CONCATENATE("aMW_",F$11)</f>
        <v>aMW_2017</v>
      </c>
      <c r="G83" s="60" t="str">
        <f t="shared" si="35"/>
        <v>aMW_2018</v>
      </c>
      <c r="H83" s="60" t="str">
        <f t="shared" si="35"/>
        <v>aMW_2019</v>
      </c>
      <c r="I83" s="60" t="str">
        <f t="shared" si="35"/>
        <v>aMW_2020</v>
      </c>
      <c r="J83" s="60" t="str">
        <f t="shared" si="35"/>
        <v>aMW_2021</v>
      </c>
      <c r="K83" s="60" t="str">
        <f t="shared" si="35"/>
        <v>aMW_2022</v>
      </c>
      <c r="L83" s="60" t="str">
        <f t="shared" si="35"/>
        <v>aMW_2023</v>
      </c>
      <c r="M83" s="60" t="str">
        <f t="shared" si="35"/>
        <v>aMW_2024</v>
      </c>
      <c r="N83" s="60" t="str">
        <f t="shared" si="35"/>
        <v>aMW_2025</v>
      </c>
      <c r="O83" s="60" t="str">
        <f t="shared" si="35"/>
        <v>aMW_2026</v>
      </c>
      <c r="P83" s="60" t="str">
        <f t="shared" si="35"/>
        <v>aMW_2027</v>
      </c>
      <c r="Q83" s="60" t="str">
        <f t="shared" si="35"/>
        <v>aMW_2028</v>
      </c>
      <c r="R83" s="60" t="str">
        <f t="shared" si="35"/>
        <v>aMW_2029</v>
      </c>
      <c r="S83" s="60" t="str">
        <f t="shared" si="35"/>
        <v>aMW_2030</v>
      </c>
      <c r="T83" s="60" t="str">
        <f t="shared" si="35"/>
        <v>aMW_2031</v>
      </c>
      <c r="U83" s="60" t="str">
        <f t="shared" si="35"/>
        <v>aMW_2032</v>
      </c>
      <c r="V83" s="60" t="str">
        <f t="shared" si="35"/>
        <v>aMW_2033</v>
      </c>
      <c r="W83" s="60" t="str">
        <f t="shared" si="35"/>
        <v>aMW_2034</v>
      </c>
      <c r="X83" s="60" t="str">
        <f t="shared" si="35"/>
        <v>aMW_2035</v>
      </c>
      <c r="Y83" s="60" t="s">
        <v>68</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1:79">
      <c r="B84" s="7" t="s">
        <v>77</v>
      </c>
      <c r="C84" s="48" t="s">
        <v>78</v>
      </c>
      <c r="D84" s="48" t="s">
        <v>79</v>
      </c>
      <c r="E84" s="45">
        <f ca="1">DSUM($B$60:$Y$73,E$60,$C$83:$D84)</f>
        <v>10.461727763948119</v>
      </c>
      <c r="F84" s="45">
        <f ca="1">DSUM($B$60:$Y$73,F$60,$C$83:$D84)</f>
        <v>10.606772925036143</v>
      </c>
      <c r="G84" s="45">
        <f ca="1">DSUM($B$60:$Y$73,G$60,$C$83:$D84)</f>
        <v>10.737376355034925</v>
      </c>
      <c r="H84" s="45">
        <f ca="1">DSUM($B$60:$Y$73,H$60,$C$83:$D84)</f>
        <v>10.853622943077907</v>
      </c>
      <c r="I84" s="45">
        <f ca="1">DSUM($B$60:$Y$73,I$60,$C$83:$D84)</f>
        <v>10.956952481301784</v>
      </c>
      <c r="J84" s="45">
        <f ca="1">DSUM($B$60:$Y$73,J$60,$C$83:$D84)</f>
        <v>9.9426630102608531</v>
      </c>
      <c r="K84" s="45">
        <f ca="1">DSUM($B$60:$Y$73,K$60,$C$83:$D84)</f>
        <v>8.0107042257690217</v>
      </c>
      <c r="L84" s="45">
        <f ca="1">DSUM($B$60:$Y$73,L$60,$C$83:$D84)</f>
        <v>6.4494580402506561</v>
      </c>
      <c r="M84" s="45">
        <f ca="1">DSUM($B$60:$Y$73,M$60,$C$83:$D84)</f>
        <v>5.1905067022441154</v>
      </c>
      <c r="N84" s="45">
        <f ca="1">DSUM($B$60:$Y$73,N$60,$C$83:$D84)</f>
        <v>4.1759425219497341</v>
      </c>
      <c r="O84" s="45">
        <f ca="1">DSUM($B$60:$Y$73,O$60,$C$83:$D84)</f>
        <v>3.359353703671752</v>
      </c>
      <c r="P84" s="45">
        <f ca="1">DSUM($B$60:$Y$73,P$60,$C$83:$D84)</f>
        <v>2.7019710338266063</v>
      </c>
      <c r="Q84" s="45">
        <f ca="1">DSUM($B$60:$Y$73,Q$60,$C$83:$D84)</f>
        <v>2.1727047898177565</v>
      </c>
      <c r="R84" s="45">
        <f ca="1">DSUM($B$60:$Y$73,R$60,$C$83:$D84)</f>
        <v>1.7466379687308491</v>
      </c>
      <c r="S84" s="45">
        <f ca="1">DSUM($B$60:$Y$73,S$60,$C$83:$D84)</f>
        <v>1.4039457677269647</v>
      </c>
      <c r="T84" s="45">
        <f ca="1">DSUM($B$60:$Y$73,T$60,$C$83:$D84)</f>
        <v>1.1284246557762654</v>
      </c>
      <c r="U84" s="45">
        <f ca="1">DSUM($B$60:$Y$73,U$60,$C$83:$D84)</f>
        <v>7.7317599235525144E-3</v>
      </c>
      <c r="V84" s="45">
        <f ca="1">DSUM($B$60:$Y$73,V$60,$C$83:$D84)</f>
        <v>2.7733584992660305E-3</v>
      </c>
      <c r="W84" s="45">
        <f ca="1">DSUM($B$60:$Y$73,W$60,$C$83:$D84)</f>
        <v>9.4953404182574592E-4</v>
      </c>
      <c r="X84" s="45">
        <f ca="1">DSUM($B$60:$Y$73,X$60,$C$83:$D84)</f>
        <v>3.1095475943330395E-4</v>
      </c>
      <c r="Y84" s="32">
        <f ca="1">DSUM($B$60:$Y$73,Y$60,$C$83:$D84)</f>
        <v>108.64035927760769</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1:79">
      <c r="B85" s="7" t="s">
        <v>595</v>
      </c>
      <c r="C85" s="48" t="s">
        <v>81</v>
      </c>
      <c r="D85" s="48" t="s">
        <v>82</v>
      </c>
      <c r="E85" s="45">
        <f ca="1">DSUM($B$60:$Y$73,E$60,$C$83:$D85)</f>
        <v>10.461727763948119</v>
      </c>
      <c r="F85" s="45">
        <f ca="1">DSUM($B$60:$Y$73,F$60,$C$83:$D85)</f>
        <v>10.606772925036143</v>
      </c>
      <c r="G85" s="45">
        <f ca="1">DSUM($B$60:$Y$73,G$60,$C$83:$D85)</f>
        <v>10.737376355034925</v>
      </c>
      <c r="H85" s="45">
        <f ca="1">DSUM($B$60:$Y$73,H$60,$C$83:$D85)</f>
        <v>10.853622943077907</v>
      </c>
      <c r="I85" s="45">
        <f ca="1">DSUM($B$60:$Y$73,I$60,$C$83:$D85)</f>
        <v>10.956952481301784</v>
      </c>
      <c r="J85" s="45">
        <f ca="1">DSUM($B$60:$Y$73,J$60,$C$83:$D85)</f>
        <v>9.9426630102608531</v>
      </c>
      <c r="K85" s="45">
        <f ca="1">DSUM($B$60:$Y$73,K$60,$C$83:$D85)</f>
        <v>8.0107042257690217</v>
      </c>
      <c r="L85" s="45">
        <f ca="1">DSUM($B$60:$Y$73,L$60,$C$83:$D85)</f>
        <v>6.4494580402506561</v>
      </c>
      <c r="M85" s="45">
        <f ca="1">DSUM($B$60:$Y$73,M$60,$C$83:$D85)</f>
        <v>5.1905067022441154</v>
      </c>
      <c r="N85" s="45">
        <f ca="1">DSUM($B$60:$Y$73,N$60,$C$83:$D85)</f>
        <v>4.1759425219497341</v>
      </c>
      <c r="O85" s="45">
        <f ca="1">DSUM($B$60:$Y$73,O$60,$C$83:$D85)</f>
        <v>3.359353703671752</v>
      </c>
      <c r="P85" s="45">
        <f ca="1">DSUM($B$60:$Y$73,P$60,$C$83:$D85)</f>
        <v>2.7019710338266063</v>
      </c>
      <c r="Q85" s="45">
        <f ca="1">DSUM($B$60:$Y$73,Q$60,$C$83:$D85)</f>
        <v>2.1727047898177565</v>
      </c>
      <c r="R85" s="45">
        <f ca="1">DSUM($B$60:$Y$73,R$60,$C$83:$D85)</f>
        <v>1.7466379687308491</v>
      </c>
      <c r="S85" s="45">
        <f ca="1">DSUM($B$60:$Y$73,S$60,$C$83:$D85)</f>
        <v>1.4039457677269647</v>
      </c>
      <c r="T85" s="45">
        <f ca="1">DSUM($B$60:$Y$73,T$60,$C$83:$D85)</f>
        <v>1.1284246557762654</v>
      </c>
      <c r="U85" s="45">
        <f ca="1">DSUM($B$60:$Y$73,U$60,$C$83:$D85)</f>
        <v>7.7317599235525144E-3</v>
      </c>
      <c r="V85" s="45">
        <f ca="1">DSUM($B$60:$Y$73,V$60,$C$83:$D85)</f>
        <v>2.7733584992660305E-3</v>
      </c>
      <c r="W85" s="45">
        <f ca="1">DSUM($B$60:$Y$73,W$60,$C$83:$D85)</f>
        <v>9.4953404182574592E-4</v>
      </c>
      <c r="X85" s="45">
        <f ca="1">DSUM($B$60:$Y$73,X$60,$C$83:$D85)</f>
        <v>3.1095475943330395E-4</v>
      </c>
      <c r="Y85" s="32">
        <f ca="1">DSUM($B$60:$Y$73,Y$60,$C$83:$D85)</f>
        <v>108.64035927760769</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1:79">
      <c r="B86" s="7" t="s">
        <v>83</v>
      </c>
      <c r="C86" s="48" t="s">
        <v>84</v>
      </c>
      <c r="D86" s="48" t="s">
        <v>85</v>
      </c>
      <c r="E86" s="45">
        <f ca="1">DSUM($B$60:$Y$73,E$60,$C$83:$D86)</f>
        <v>10.461727763948119</v>
      </c>
      <c r="F86" s="45">
        <f ca="1">DSUM($B$60:$Y$73,F$60,$C$83:$D86)</f>
        <v>10.606772925036143</v>
      </c>
      <c r="G86" s="45">
        <f ca="1">DSUM($B$60:$Y$73,G$60,$C$83:$D86)</f>
        <v>10.737376355034925</v>
      </c>
      <c r="H86" s="45">
        <f ca="1">DSUM($B$60:$Y$73,H$60,$C$83:$D86)</f>
        <v>10.853622943077907</v>
      </c>
      <c r="I86" s="45">
        <f ca="1">DSUM($B$60:$Y$73,I$60,$C$83:$D86)</f>
        <v>10.956952481301784</v>
      </c>
      <c r="J86" s="45">
        <f ca="1">DSUM($B$60:$Y$73,J$60,$C$83:$D86)</f>
        <v>9.9426630102608531</v>
      </c>
      <c r="K86" s="45">
        <f ca="1">DSUM($B$60:$Y$73,K$60,$C$83:$D86)</f>
        <v>8.0107042257690217</v>
      </c>
      <c r="L86" s="45">
        <f ca="1">DSUM($B$60:$Y$73,L$60,$C$83:$D86)</f>
        <v>6.4494580402506561</v>
      </c>
      <c r="M86" s="45">
        <f ca="1">DSUM($B$60:$Y$73,M$60,$C$83:$D86)</f>
        <v>5.1905067022441154</v>
      </c>
      <c r="N86" s="45">
        <f ca="1">DSUM($B$60:$Y$73,N$60,$C$83:$D86)</f>
        <v>4.1759425219497341</v>
      </c>
      <c r="O86" s="45">
        <f ca="1">DSUM($B$60:$Y$73,O$60,$C$83:$D86)</f>
        <v>3.359353703671752</v>
      </c>
      <c r="P86" s="45">
        <f ca="1">DSUM($B$60:$Y$73,P$60,$C$83:$D86)</f>
        <v>2.7019710338266063</v>
      </c>
      <c r="Q86" s="45">
        <f ca="1">DSUM($B$60:$Y$73,Q$60,$C$83:$D86)</f>
        <v>2.1727047898177565</v>
      </c>
      <c r="R86" s="45">
        <f ca="1">DSUM($B$60:$Y$73,R$60,$C$83:$D86)</f>
        <v>1.7466379687308491</v>
      </c>
      <c r="S86" s="45">
        <f ca="1">DSUM($B$60:$Y$73,S$60,$C$83:$D86)</f>
        <v>1.4039457677269647</v>
      </c>
      <c r="T86" s="45">
        <f ca="1">DSUM($B$60:$Y$73,T$60,$C$83:$D86)</f>
        <v>1.1284246557762654</v>
      </c>
      <c r="U86" s="45">
        <f ca="1">DSUM($B$60:$Y$73,U$60,$C$83:$D86)</f>
        <v>7.7317599235525144E-3</v>
      </c>
      <c r="V86" s="45">
        <f ca="1">DSUM($B$60:$Y$73,V$60,$C$83:$D86)</f>
        <v>2.7733584992660305E-3</v>
      </c>
      <c r="W86" s="45">
        <f ca="1">DSUM($B$60:$Y$73,W$60,$C$83:$D86)</f>
        <v>9.4953404182574592E-4</v>
      </c>
      <c r="X86" s="45">
        <f ca="1">DSUM($B$60:$Y$73,X$60,$C$83:$D86)</f>
        <v>3.1095475943330395E-4</v>
      </c>
      <c r="Y86" s="32">
        <f ca="1">DSUM($B$60:$Y$73,Y$60,$C$83:$D86)</f>
        <v>108.64035927760769</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1:79">
      <c r="B87" s="7" t="s">
        <v>86</v>
      </c>
      <c r="C87" s="48" t="s">
        <v>87</v>
      </c>
      <c r="D87" s="48" t="s">
        <v>88</v>
      </c>
      <c r="E87" s="45">
        <f ca="1">DSUM($B$60:$Y$73,E$60,$C$83:$D87)</f>
        <v>10.461727763948119</v>
      </c>
      <c r="F87" s="45">
        <f ca="1">DSUM($B$60:$Y$73,F$60,$C$83:$D87)</f>
        <v>10.606772925036143</v>
      </c>
      <c r="G87" s="45">
        <f ca="1">DSUM($B$60:$Y$73,G$60,$C$83:$D87)</f>
        <v>10.737376355034925</v>
      </c>
      <c r="H87" s="45">
        <f ca="1">DSUM($B$60:$Y$73,H$60,$C$83:$D87)</f>
        <v>10.853622943077907</v>
      </c>
      <c r="I87" s="45">
        <f ca="1">DSUM($B$60:$Y$73,I$60,$C$83:$D87)</f>
        <v>10.956952481301784</v>
      </c>
      <c r="J87" s="45">
        <f ca="1">DSUM($B$60:$Y$73,J$60,$C$83:$D87)</f>
        <v>9.9426630102608531</v>
      </c>
      <c r="K87" s="45">
        <f ca="1">DSUM($B$60:$Y$73,K$60,$C$83:$D87)</f>
        <v>8.0107042257690217</v>
      </c>
      <c r="L87" s="45">
        <f ca="1">DSUM($B$60:$Y$73,L$60,$C$83:$D87)</f>
        <v>6.4494580402506561</v>
      </c>
      <c r="M87" s="45">
        <f ca="1">DSUM($B$60:$Y$73,M$60,$C$83:$D87)</f>
        <v>5.1905067022441154</v>
      </c>
      <c r="N87" s="45">
        <f ca="1">DSUM($B$60:$Y$73,N$60,$C$83:$D87)</f>
        <v>4.1759425219497341</v>
      </c>
      <c r="O87" s="45">
        <f ca="1">DSUM($B$60:$Y$73,O$60,$C$83:$D87)</f>
        <v>3.359353703671752</v>
      </c>
      <c r="P87" s="45">
        <f ca="1">DSUM($B$60:$Y$73,P$60,$C$83:$D87)</f>
        <v>2.7019710338266063</v>
      </c>
      <c r="Q87" s="45">
        <f ca="1">DSUM($B$60:$Y$73,Q$60,$C$83:$D87)</f>
        <v>2.1727047898177565</v>
      </c>
      <c r="R87" s="45">
        <f ca="1">DSUM($B$60:$Y$73,R$60,$C$83:$D87)</f>
        <v>1.7466379687308491</v>
      </c>
      <c r="S87" s="45">
        <f ca="1">DSUM($B$60:$Y$73,S$60,$C$83:$D87)</f>
        <v>1.4039457677269647</v>
      </c>
      <c r="T87" s="45">
        <f ca="1">DSUM($B$60:$Y$73,T$60,$C$83:$D87)</f>
        <v>1.1284246557762654</v>
      </c>
      <c r="U87" s="45">
        <f ca="1">DSUM($B$60:$Y$73,U$60,$C$83:$D87)</f>
        <v>7.7317599235525144E-3</v>
      </c>
      <c r="V87" s="45">
        <f ca="1">DSUM($B$60:$Y$73,V$60,$C$83:$D87)</f>
        <v>2.7733584992660305E-3</v>
      </c>
      <c r="W87" s="45">
        <f ca="1">DSUM($B$60:$Y$73,W$60,$C$83:$D87)</f>
        <v>9.4953404182574592E-4</v>
      </c>
      <c r="X87" s="45">
        <f ca="1">DSUM($B$60:$Y$73,X$60,$C$83:$D87)</f>
        <v>3.1095475943330395E-4</v>
      </c>
      <c r="Y87" s="32">
        <f ca="1">DSUM($B$60:$Y$73,Y$60,$C$83:$D87)</f>
        <v>108.64035927760769</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1:79">
      <c r="B88" s="7" t="s">
        <v>89</v>
      </c>
      <c r="C88" s="48" t="s">
        <v>90</v>
      </c>
      <c r="D88" s="48" t="s">
        <v>91</v>
      </c>
      <c r="E88" s="45">
        <f ca="1">DSUM($B$60:$Y$73,E$60,$C$83:$D88)</f>
        <v>10.461727763948119</v>
      </c>
      <c r="F88" s="45">
        <f ca="1">DSUM($B$60:$Y$73,F$60,$C$83:$D88)</f>
        <v>10.606772925036143</v>
      </c>
      <c r="G88" s="45">
        <f ca="1">DSUM($B$60:$Y$73,G$60,$C$83:$D88)</f>
        <v>10.737376355034925</v>
      </c>
      <c r="H88" s="45">
        <f ca="1">DSUM($B$60:$Y$73,H$60,$C$83:$D88)</f>
        <v>10.853622943077907</v>
      </c>
      <c r="I88" s="45">
        <f ca="1">DSUM($B$60:$Y$73,I$60,$C$83:$D88)</f>
        <v>10.956952481301784</v>
      </c>
      <c r="J88" s="45">
        <f ca="1">DSUM($B$60:$Y$73,J$60,$C$83:$D88)</f>
        <v>9.9426630102608531</v>
      </c>
      <c r="K88" s="45">
        <f ca="1">DSUM($B$60:$Y$73,K$60,$C$83:$D88)</f>
        <v>8.0107042257690217</v>
      </c>
      <c r="L88" s="45">
        <f ca="1">DSUM($B$60:$Y$73,L$60,$C$83:$D88)</f>
        <v>6.4494580402506561</v>
      </c>
      <c r="M88" s="45">
        <f ca="1">DSUM($B$60:$Y$73,M$60,$C$83:$D88)</f>
        <v>5.1905067022441154</v>
      </c>
      <c r="N88" s="45">
        <f ca="1">DSUM($B$60:$Y$73,N$60,$C$83:$D88)</f>
        <v>4.1759425219497341</v>
      </c>
      <c r="O88" s="45">
        <f ca="1">DSUM($B$60:$Y$73,O$60,$C$83:$D88)</f>
        <v>3.359353703671752</v>
      </c>
      <c r="P88" s="45">
        <f ca="1">DSUM($B$60:$Y$73,P$60,$C$83:$D88)</f>
        <v>2.7019710338266063</v>
      </c>
      <c r="Q88" s="45">
        <f ca="1">DSUM($B$60:$Y$73,Q$60,$C$83:$D88)</f>
        <v>2.1727047898177565</v>
      </c>
      <c r="R88" s="45">
        <f ca="1">DSUM($B$60:$Y$73,R$60,$C$83:$D88)</f>
        <v>1.7466379687308491</v>
      </c>
      <c r="S88" s="45">
        <f ca="1">DSUM($B$60:$Y$73,S$60,$C$83:$D88)</f>
        <v>1.4039457677269647</v>
      </c>
      <c r="T88" s="45">
        <f ca="1">DSUM($B$60:$Y$73,T$60,$C$83:$D88)</f>
        <v>1.1284246557762654</v>
      </c>
      <c r="U88" s="45">
        <f ca="1">DSUM($B$60:$Y$73,U$60,$C$83:$D88)</f>
        <v>7.7317599235525144E-3</v>
      </c>
      <c r="V88" s="45">
        <f ca="1">DSUM($B$60:$Y$73,V$60,$C$83:$D88)</f>
        <v>2.7733584992660305E-3</v>
      </c>
      <c r="W88" s="45">
        <f ca="1">DSUM($B$60:$Y$73,W$60,$C$83:$D88)</f>
        <v>9.4953404182574592E-4</v>
      </c>
      <c r="X88" s="45">
        <f ca="1">DSUM($B$60:$Y$73,X$60,$C$83:$D88)</f>
        <v>3.1095475943330395E-4</v>
      </c>
      <c r="Y88" s="32">
        <f ca="1">DSUM($B$60:$Y$73,Y$60,$C$83:$D88)</f>
        <v>108.64035927760769</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1:79">
      <c r="B89" s="7" t="s">
        <v>92</v>
      </c>
      <c r="C89" s="48" t="s">
        <v>93</v>
      </c>
      <c r="D89" s="48" t="s">
        <v>94</v>
      </c>
      <c r="E89" s="45">
        <f ca="1">DSUM($B$60:$Y$73,E$60,$C$83:$D89)</f>
        <v>10.461727763948119</v>
      </c>
      <c r="F89" s="45">
        <f ca="1">DSUM($B$60:$Y$73,F$60,$C$83:$D89)</f>
        <v>10.606772925036143</v>
      </c>
      <c r="G89" s="45">
        <f ca="1">DSUM($B$60:$Y$73,G$60,$C$83:$D89)</f>
        <v>10.737376355034925</v>
      </c>
      <c r="H89" s="45">
        <f ca="1">DSUM($B$60:$Y$73,H$60,$C$83:$D89)</f>
        <v>10.853622943077907</v>
      </c>
      <c r="I89" s="45">
        <f ca="1">DSUM($B$60:$Y$73,I$60,$C$83:$D89)</f>
        <v>10.956952481301784</v>
      </c>
      <c r="J89" s="45">
        <f ca="1">DSUM($B$60:$Y$73,J$60,$C$83:$D89)</f>
        <v>9.9426630102608531</v>
      </c>
      <c r="K89" s="45">
        <f ca="1">DSUM($B$60:$Y$73,K$60,$C$83:$D89)</f>
        <v>8.0107042257690217</v>
      </c>
      <c r="L89" s="45">
        <f ca="1">DSUM($B$60:$Y$73,L$60,$C$83:$D89)</f>
        <v>6.4494580402506561</v>
      </c>
      <c r="M89" s="45">
        <f ca="1">DSUM($B$60:$Y$73,M$60,$C$83:$D89)</f>
        <v>5.1905067022441154</v>
      </c>
      <c r="N89" s="45">
        <f ca="1">DSUM($B$60:$Y$73,N$60,$C$83:$D89)</f>
        <v>4.1759425219497341</v>
      </c>
      <c r="O89" s="45">
        <f ca="1">DSUM($B$60:$Y$73,O$60,$C$83:$D89)</f>
        <v>3.359353703671752</v>
      </c>
      <c r="P89" s="45">
        <f ca="1">DSUM($B$60:$Y$73,P$60,$C$83:$D89)</f>
        <v>2.7019710338266063</v>
      </c>
      <c r="Q89" s="45">
        <f ca="1">DSUM($B$60:$Y$73,Q$60,$C$83:$D89)</f>
        <v>2.1727047898177565</v>
      </c>
      <c r="R89" s="45">
        <f ca="1">DSUM($B$60:$Y$73,R$60,$C$83:$D89)</f>
        <v>1.7466379687308491</v>
      </c>
      <c r="S89" s="45">
        <f ca="1">DSUM($B$60:$Y$73,S$60,$C$83:$D89)</f>
        <v>1.4039457677269647</v>
      </c>
      <c r="T89" s="45">
        <f ca="1">DSUM($B$60:$Y$73,T$60,$C$83:$D89)</f>
        <v>1.1284246557762654</v>
      </c>
      <c r="U89" s="45">
        <f ca="1">DSUM($B$60:$Y$73,U$60,$C$83:$D89)</f>
        <v>7.7317599235525144E-3</v>
      </c>
      <c r="V89" s="45">
        <f ca="1">DSUM($B$60:$Y$73,V$60,$C$83:$D89)</f>
        <v>2.7733584992660305E-3</v>
      </c>
      <c r="W89" s="45">
        <f ca="1">DSUM($B$60:$Y$73,W$60,$C$83:$D89)</f>
        <v>9.4953404182574592E-4</v>
      </c>
      <c r="X89" s="45">
        <f ca="1">DSUM($B$60:$Y$73,X$60,$C$83:$D89)</f>
        <v>3.1095475943330395E-4</v>
      </c>
      <c r="Y89" s="32">
        <f ca="1">DSUM($B$60:$Y$73,Y$60,$C$83:$D89)</f>
        <v>108.64035927760769</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1:79">
      <c r="B90" s="7" t="s">
        <v>95</v>
      </c>
      <c r="C90" s="48" t="s">
        <v>96</v>
      </c>
      <c r="D90" s="48" t="s">
        <v>97</v>
      </c>
      <c r="E90" s="45">
        <f ca="1">DSUM($B$60:$Y$73,E$60,$C$83:$D90)</f>
        <v>10.461727763948119</v>
      </c>
      <c r="F90" s="45">
        <f ca="1">DSUM($B$60:$Y$73,F$60,$C$83:$D90)</f>
        <v>10.606772925036143</v>
      </c>
      <c r="G90" s="45">
        <f ca="1">DSUM($B$60:$Y$73,G$60,$C$83:$D90)</f>
        <v>10.737376355034925</v>
      </c>
      <c r="H90" s="45">
        <f ca="1">DSUM($B$60:$Y$73,H$60,$C$83:$D90)</f>
        <v>10.853622943077907</v>
      </c>
      <c r="I90" s="45">
        <f ca="1">DSUM($B$60:$Y$73,I$60,$C$83:$D90)</f>
        <v>10.956952481301784</v>
      </c>
      <c r="J90" s="45">
        <f ca="1">DSUM($B$60:$Y$73,J$60,$C$83:$D90)</f>
        <v>9.9426630102608531</v>
      </c>
      <c r="K90" s="45">
        <f ca="1">DSUM($B$60:$Y$73,K$60,$C$83:$D90)</f>
        <v>8.0107042257690217</v>
      </c>
      <c r="L90" s="45">
        <f ca="1">DSUM($B$60:$Y$73,L$60,$C$83:$D90)</f>
        <v>6.4494580402506561</v>
      </c>
      <c r="M90" s="45">
        <f ca="1">DSUM($B$60:$Y$73,M$60,$C$83:$D90)</f>
        <v>5.1905067022441154</v>
      </c>
      <c r="N90" s="45">
        <f ca="1">DSUM($B$60:$Y$73,N$60,$C$83:$D90)</f>
        <v>4.1759425219497341</v>
      </c>
      <c r="O90" s="45">
        <f ca="1">DSUM($B$60:$Y$73,O$60,$C$83:$D90)</f>
        <v>3.359353703671752</v>
      </c>
      <c r="P90" s="45">
        <f ca="1">DSUM($B$60:$Y$73,P$60,$C$83:$D90)</f>
        <v>2.7019710338266063</v>
      </c>
      <c r="Q90" s="45">
        <f ca="1">DSUM($B$60:$Y$73,Q$60,$C$83:$D90)</f>
        <v>2.1727047898177565</v>
      </c>
      <c r="R90" s="45">
        <f ca="1">DSUM($B$60:$Y$73,R$60,$C$83:$D90)</f>
        <v>1.7466379687308491</v>
      </c>
      <c r="S90" s="45">
        <f ca="1">DSUM($B$60:$Y$73,S$60,$C$83:$D90)</f>
        <v>1.4039457677269647</v>
      </c>
      <c r="T90" s="45">
        <f ca="1">DSUM($B$60:$Y$73,T$60,$C$83:$D90)</f>
        <v>1.1284246557762654</v>
      </c>
      <c r="U90" s="45">
        <f ca="1">DSUM($B$60:$Y$73,U$60,$C$83:$D90)</f>
        <v>7.7317599235525144E-3</v>
      </c>
      <c r="V90" s="45">
        <f ca="1">DSUM($B$60:$Y$73,V$60,$C$83:$D90)</f>
        <v>2.7733584992660305E-3</v>
      </c>
      <c r="W90" s="45">
        <f ca="1">DSUM($B$60:$Y$73,W$60,$C$83:$D90)</f>
        <v>9.4953404182574592E-4</v>
      </c>
      <c r="X90" s="45">
        <f ca="1">DSUM($B$60:$Y$73,X$60,$C$83:$D90)</f>
        <v>3.1095475943330395E-4</v>
      </c>
      <c r="Y90" s="32">
        <f ca="1">DSUM($B$60:$Y$73,Y$60,$C$83:$D90)</f>
        <v>108.64035927760769</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1:79">
      <c r="B91" s="7" t="s">
        <v>98</v>
      </c>
      <c r="C91" s="48" t="s">
        <v>99</v>
      </c>
      <c r="D91" s="48" t="s">
        <v>100</v>
      </c>
      <c r="E91" s="45">
        <f ca="1">DSUM($B$60:$Y$73,E$60,$C$83:$D91)</f>
        <v>10.461727763948119</v>
      </c>
      <c r="F91" s="45">
        <f ca="1">DSUM($B$60:$Y$73,F$60,$C$83:$D91)</f>
        <v>10.606772925036143</v>
      </c>
      <c r="G91" s="45">
        <f ca="1">DSUM($B$60:$Y$73,G$60,$C$83:$D91)</f>
        <v>10.737376355034925</v>
      </c>
      <c r="H91" s="45">
        <f ca="1">DSUM($B$60:$Y$73,H$60,$C$83:$D91)</f>
        <v>10.853622943077907</v>
      </c>
      <c r="I91" s="45">
        <f ca="1">DSUM($B$60:$Y$73,I$60,$C$83:$D91)</f>
        <v>10.956952481301784</v>
      </c>
      <c r="J91" s="45">
        <f ca="1">DSUM($B$60:$Y$73,J$60,$C$83:$D91)</f>
        <v>9.9426630102608531</v>
      </c>
      <c r="K91" s="45">
        <f ca="1">DSUM($B$60:$Y$73,K$60,$C$83:$D91)</f>
        <v>8.0107042257690217</v>
      </c>
      <c r="L91" s="45">
        <f ca="1">DSUM($B$60:$Y$73,L$60,$C$83:$D91)</f>
        <v>6.4494580402506561</v>
      </c>
      <c r="M91" s="45">
        <f ca="1">DSUM($B$60:$Y$73,M$60,$C$83:$D91)</f>
        <v>5.1905067022441154</v>
      </c>
      <c r="N91" s="45">
        <f ca="1">DSUM($B$60:$Y$73,N$60,$C$83:$D91)</f>
        <v>4.1759425219497341</v>
      </c>
      <c r="O91" s="45">
        <f ca="1">DSUM($B$60:$Y$73,O$60,$C$83:$D91)</f>
        <v>3.359353703671752</v>
      </c>
      <c r="P91" s="45">
        <f ca="1">DSUM($B$60:$Y$73,P$60,$C$83:$D91)</f>
        <v>2.7019710338266063</v>
      </c>
      <c r="Q91" s="45">
        <f ca="1">DSUM($B$60:$Y$73,Q$60,$C$83:$D91)</f>
        <v>2.1727047898177565</v>
      </c>
      <c r="R91" s="45">
        <f ca="1">DSUM($B$60:$Y$73,R$60,$C$83:$D91)</f>
        <v>1.7466379687308491</v>
      </c>
      <c r="S91" s="45">
        <f ca="1">DSUM($B$60:$Y$73,S$60,$C$83:$D91)</f>
        <v>1.4039457677269647</v>
      </c>
      <c r="T91" s="45">
        <f ca="1">DSUM($B$60:$Y$73,T$60,$C$83:$D91)</f>
        <v>1.1284246557762654</v>
      </c>
      <c r="U91" s="45">
        <f ca="1">DSUM($B$60:$Y$73,U$60,$C$83:$D91)</f>
        <v>7.7317599235525144E-3</v>
      </c>
      <c r="V91" s="45">
        <f ca="1">DSUM($B$60:$Y$73,V$60,$C$83:$D91)</f>
        <v>2.7733584992660305E-3</v>
      </c>
      <c r="W91" s="45">
        <f ca="1">DSUM($B$60:$Y$73,W$60,$C$83:$D91)</f>
        <v>9.4953404182574592E-4</v>
      </c>
      <c r="X91" s="45">
        <f ca="1">DSUM($B$60:$Y$73,X$60,$C$83:$D91)</f>
        <v>3.1095475943330395E-4</v>
      </c>
      <c r="Y91" s="32">
        <f ca="1">DSUM($B$60:$Y$73,Y$60,$C$83:$D91)</f>
        <v>108.64035927760769</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1:79">
      <c r="B92" s="7" t="s">
        <v>101</v>
      </c>
      <c r="C92" s="48" t="s">
        <v>102</v>
      </c>
      <c r="D92" s="48" t="s">
        <v>103</v>
      </c>
      <c r="E92" s="45">
        <f ca="1">DSUM($B$60:$Y$73,E$60,$C$83:$D92)</f>
        <v>10.461727763948119</v>
      </c>
      <c r="F92" s="45">
        <f ca="1">DSUM($B$60:$Y$73,F$60,$C$83:$D92)</f>
        <v>10.606772925036143</v>
      </c>
      <c r="G92" s="45">
        <f ca="1">DSUM($B$60:$Y$73,G$60,$C$83:$D92)</f>
        <v>10.737376355034925</v>
      </c>
      <c r="H92" s="45">
        <f ca="1">DSUM($B$60:$Y$73,H$60,$C$83:$D92)</f>
        <v>10.853622943077907</v>
      </c>
      <c r="I92" s="45">
        <f ca="1">DSUM($B$60:$Y$73,I$60,$C$83:$D92)</f>
        <v>10.956952481301784</v>
      </c>
      <c r="J92" s="45">
        <f ca="1">DSUM($B$60:$Y$73,J$60,$C$83:$D92)</f>
        <v>9.9426630102608531</v>
      </c>
      <c r="K92" s="45">
        <f ca="1">DSUM($B$60:$Y$73,K$60,$C$83:$D92)</f>
        <v>8.0107042257690217</v>
      </c>
      <c r="L92" s="45">
        <f ca="1">DSUM($B$60:$Y$73,L$60,$C$83:$D92)</f>
        <v>6.4494580402506561</v>
      </c>
      <c r="M92" s="45">
        <f ca="1">DSUM($B$60:$Y$73,M$60,$C$83:$D92)</f>
        <v>5.1905067022441154</v>
      </c>
      <c r="N92" s="45">
        <f ca="1">DSUM($B$60:$Y$73,N$60,$C$83:$D92)</f>
        <v>4.1759425219497341</v>
      </c>
      <c r="O92" s="45">
        <f ca="1">DSUM($B$60:$Y$73,O$60,$C$83:$D92)</f>
        <v>3.359353703671752</v>
      </c>
      <c r="P92" s="45">
        <f ca="1">DSUM($B$60:$Y$73,P$60,$C$83:$D92)</f>
        <v>2.7019710338266063</v>
      </c>
      <c r="Q92" s="45">
        <f ca="1">DSUM($B$60:$Y$73,Q$60,$C$83:$D92)</f>
        <v>2.1727047898177565</v>
      </c>
      <c r="R92" s="45">
        <f ca="1">DSUM($B$60:$Y$73,R$60,$C$83:$D92)</f>
        <v>1.7466379687308491</v>
      </c>
      <c r="S92" s="45">
        <f ca="1">DSUM($B$60:$Y$73,S$60,$C$83:$D92)</f>
        <v>1.4039457677269647</v>
      </c>
      <c r="T92" s="45">
        <f ca="1">DSUM($B$60:$Y$73,T$60,$C$83:$D92)</f>
        <v>1.1284246557762654</v>
      </c>
      <c r="U92" s="45">
        <f ca="1">DSUM($B$60:$Y$73,U$60,$C$83:$D92)</f>
        <v>7.7317599235525144E-3</v>
      </c>
      <c r="V92" s="45">
        <f ca="1">DSUM($B$60:$Y$73,V$60,$C$83:$D92)</f>
        <v>2.7733584992660305E-3</v>
      </c>
      <c r="W92" s="45">
        <f ca="1">DSUM($B$60:$Y$73,W$60,$C$83:$D92)</f>
        <v>9.4953404182574592E-4</v>
      </c>
      <c r="X92" s="45">
        <f ca="1">DSUM($B$60:$Y$73,X$60,$C$83:$D92)</f>
        <v>3.1095475943330395E-4</v>
      </c>
      <c r="Y92" s="32">
        <f ca="1">DSUM($B$60:$Y$73,Y$60,$C$83:$D92)</f>
        <v>108.64035927760769</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1:79">
      <c r="B93" s="7" t="s">
        <v>104</v>
      </c>
      <c r="C93" s="48" t="s">
        <v>105</v>
      </c>
      <c r="D93" s="48" t="s">
        <v>106</v>
      </c>
      <c r="E93" s="45">
        <f ca="1">DSUM($B$60:$Y$73,E$60,$C$83:$D93)</f>
        <v>10.461727763948119</v>
      </c>
      <c r="F93" s="45">
        <f ca="1">DSUM($B$60:$Y$73,F$60,$C$83:$D93)</f>
        <v>10.606772925036143</v>
      </c>
      <c r="G93" s="45">
        <f ca="1">DSUM($B$60:$Y$73,G$60,$C$83:$D93)</f>
        <v>10.737376355034925</v>
      </c>
      <c r="H93" s="45">
        <f ca="1">DSUM($B$60:$Y$73,H$60,$C$83:$D93)</f>
        <v>10.853622943077907</v>
      </c>
      <c r="I93" s="45">
        <f ca="1">DSUM($B$60:$Y$73,I$60,$C$83:$D93)</f>
        <v>10.956952481301784</v>
      </c>
      <c r="J93" s="45">
        <f ca="1">DSUM($B$60:$Y$73,J$60,$C$83:$D93)</f>
        <v>9.9426630102608531</v>
      </c>
      <c r="K93" s="45">
        <f ca="1">DSUM($B$60:$Y$73,K$60,$C$83:$D93)</f>
        <v>8.0107042257690217</v>
      </c>
      <c r="L93" s="45">
        <f ca="1">DSUM($B$60:$Y$73,L$60,$C$83:$D93)</f>
        <v>6.4494580402506561</v>
      </c>
      <c r="M93" s="45">
        <f ca="1">DSUM($B$60:$Y$73,M$60,$C$83:$D93)</f>
        <v>5.1905067022441154</v>
      </c>
      <c r="N93" s="45">
        <f ca="1">DSUM($B$60:$Y$73,N$60,$C$83:$D93)</f>
        <v>4.1759425219497341</v>
      </c>
      <c r="O93" s="45">
        <f ca="1">DSUM($B$60:$Y$73,O$60,$C$83:$D93)</f>
        <v>3.359353703671752</v>
      </c>
      <c r="P93" s="45">
        <f ca="1">DSUM($B$60:$Y$73,P$60,$C$83:$D93)</f>
        <v>2.7019710338266063</v>
      </c>
      <c r="Q93" s="45">
        <f ca="1">DSUM($B$60:$Y$73,Q$60,$C$83:$D93)</f>
        <v>2.1727047898177565</v>
      </c>
      <c r="R93" s="45">
        <f ca="1">DSUM($B$60:$Y$73,R$60,$C$83:$D93)</f>
        <v>1.7466379687308491</v>
      </c>
      <c r="S93" s="45">
        <f ca="1">DSUM($B$60:$Y$73,S$60,$C$83:$D93)</f>
        <v>1.4039457677269647</v>
      </c>
      <c r="T93" s="45">
        <f ca="1">DSUM($B$60:$Y$73,T$60,$C$83:$D93)</f>
        <v>1.1284246557762654</v>
      </c>
      <c r="U93" s="45">
        <f ca="1">DSUM($B$60:$Y$73,U$60,$C$83:$D93)</f>
        <v>7.7317599235525144E-3</v>
      </c>
      <c r="V93" s="45">
        <f ca="1">DSUM($B$60:$Y$73,V$60,$C$83:$D93)</f>
        <v>2.7733584992660305E-3</v>
      </c>
      <c r="W93" s="45">
        <f ca="1">DSUM($B$60:$Y$73,W$60,$C$83:$D93)</f>
        <v>9.4953404182574592E-4</v>
      </c>
      <c r="X93" s="45">
        <f ca="1">DSUM($B$60:$Y$73,X$60,$C$83:$D93)</f>
        <v>3.1095475943330395E-4</v>
      </c>
      <c r="Y93" s="32">
        <f ca="1">DSUM($B$60:$Y$73,Y$60,$C$83:$D93)</f>
        <v>108.64035927760769</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1:79">
      <c r="B94" s="7" t="s">
        <v>107</v>
      </c>
      <c r="C94" s="48" t="s">
        <v>108</v>
      </c>
      <c r="D94" s="48" t="s">
        <v>109</v>
      </c>
      <c r="E94" s="45">
        <f ca="1">DSUM($B$60:$Y$73,E$60,$C$83:$D94)</f>
        <v>10.461727763948119</v>
      </c>
      <c r="F94" s="45">
        <f ca="1">DSUM($B$60:$Y$73,F$60,$C$83:$D94)</f>
        <v>10.606772925036143</v>
      </c>
      <c r="G94" s="45">
        <f ca="1">DSUM($B$60:$Y$73,G$60,$C$83:$D94)</f>
        <v>10.737376355034925</v>
      </c>
      <c r="H94" s="45">
        <f ca="1">DSUM($B$60:$Y$73,H$60,$C$83:$D94)</f>
        <v>10.853622943077907</v>
      </c>
      <c r="I94" s="45">
        <f ca="1">DSUM($B$60:$Y$73,I$60,$C$83:$D94)</f>
        <v>10.956952481301784</v>
      </c>
      <c r="J94" s="45">
        <f ca="1">DSUM($B$60:$Y$73,J$60,$C$83:$D94)</f>
        <v>9.9426630102608531</v>
      </c>
      <c r="K94" s="45">
        <f ca="1">DSUM($B$60:$Y$73,K$60,$C$83:$D94)</f>
        <v>8.0107042257690217</v>
      </c>
      <c r="L94" s="45">
        <f ca="1">DSUM($B$60:$Y$73,L$60,$C$83:$D94)</f>
        <v>6.4494580402506561</v>
      </c>
      <c r="M94" s="45">
        <f ca="1">DSUM($B$60:$Y$73,M$60,$C$83:$D94)</f>
        <v>5.1905067022441154</v>
      </c>
      <c r="N94" s="45">
        <f ca="1">DSUM($B$60:$Y$73,N$60,$C$83:$D94)</f>
        <v>4.1759425219497341</v>
      </c>
      <c r="O94" s="45">
        <f ca="1">DSUM($B$60:$Y$73,O$60,$C$83:$D94)</f>
        <v>3.359353703671752</v>
      </c>
      <c r="P94" s="45">
        <f ca="1">DSUM($B$60:$Y$73,P$60,$C$83:$D94)</f>
        <v>2.7019710338266063</v>
      </c>
      <c r="Q94" s="45">
        <f ca="1">DSUM($B$60:$Y$73,Q$60,$C$83:$D94)</f>
        <v>2.1727047898177565</v>
      </c>
      <c r="R94" s="45">
        <f ca="1">DSUM($B$60:$Y$73,R$60,$C$83:$D94)</f>
        <v>1.7466379687308491</v>
      </c>
      <c r="S94" s="45">
        <f ca="1">DSUM($B$60:$Y$73,S$60,$C$83:$D94)</f>
        <v>1.4039457677269647</v>
      </c>
      <c r="T94" s="45">
        <f ca="1">DSUM($B$60:$Y$73,T$60,$C$83:$D94)</f>
        <v>1.1284246557762654</v>
      </c>
      <c r="U94" s="45">
        <f ca="1">DSUM($B$60:$Y$73,U$60,$C$83:$D94)</f>
        <v>7.7317599235525144E-3</v>
      </c>
      <c r="V94" s="45">
        <f ca="1">DSUM($B$60:$Y$73,V$60,$C$83:$D94)</f>
        <v>2.7733584992660305E-3</v>
      </c>
      <c r="W94" s="45">
        <f ca="1">DSUM($B$60:$Y$73,W$60,$C$83:$D94)</f>
        <v>9.4953404182574592E-4</v>
      </c>
      <c r="X94" s="45">
        <f ca="1">DSUM($B$60:$Y$73,X$60,$C$83:$D94)</f>
        <v>3.1095475943330395E-4</v>
      </c>
      <c r="Y94" s="32">
        <f ca="1">DSUM($B$60:$Y$73,Y$60,$C$83:$D94)</f>
        <v>108.64035927760769</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1:79">
      <c r="B95" s="7" t="s">
        <v>110</v>
      </c>
      <c r="C95" s="48" t="s">
        <v>111</v>
      </c>
      <c r="D95" s="48" t="s">
        <v>112</v>
      </c>
      <c r="E95" s="45">
        <f ca="1">DSUM($B$60:$Y$73,E$60,$C$83:$D95)</f>
        <v>10.461727763948119</v>
      </c>
      <c r="F95" s="45">
        <f ca="1">DSUM($B$60:$Y$73,F$60,$C$83:$D95)</f>
        <v>10.606772925036143</v>
      </c>
      <c r="G95" s="45">
        <f ca="1">DSUM($B$60:$Y$73,G$60,$C$83:$D95)</f>
        <v>10.737376355034925</v>
      </c>
      <c r="H95" s="45">
        <f ca="1">DSUM($B$60:$Y$73,H$60,$C$83:$D95)</f>
        <v>10.853622943077907</v>
      </c>
      <c r="I95" s="45">
        <f ca="1">DSUM($B$60:$Y$73,I$60,$C$83:$D95)</f>
        <v>10.956952481301784</v>
      </c>
      <c r="J95" s="45">
        <f ca="1">DSUM($B$60:$Y$73,J$60,$C$83:$D95)</f>
        <v>9.9426630102608531</v>
      </c>
      <c r="K95" s="45">
        <f ca="1">DSUM($B$60:$Y$73,K$60,$C$83:$D95)</f>
        <v>8.0107042257690217</v>
      </c>
      <c r="L95" s="45">
        <f ca="1">DSUM($B$60:$Y$73,L$60,$C$83:$D95)</f>
        <v>6.4494580402506561</v>
      </c>
      <c r="M95" s="45">
        <f ca="1">DSUM($B$60:$Y$73,M$60,$C$83:$D95)</f>
        <v>5.1905067022441154</v>
      </c>
      <c r="N95" s="45">
        <f ca="1">DSUM($B$60:$Y$73,N$60,$C$83:$D95)</f>
        <v>4.1759425219497341</v>
      </c>
      <c r="O95" s="45">
        <f ca="1">DSUM($B$60:$Y$73,O$60,$C$83:$D95)</f>
        <v>3.359353703671752</v>
      </c>
      <c r="P95" s="45">
        <f ca="1">DSUM($B$60:$Y$73,P$60,$C$83:$D95)</f>
        <v>2.7019710338266063</v>
      </c>
      <c r="Q95" s="45">
        <f ca="1">DSUM($B$60:$Y$73,Q$60,$C$83:$D95)</f>
        <v>2.1727047898177565</v>
      </c>
      <c r="R95" s="45">
        <f ca="1">DSUM($B$60:$Y$73,R$60,$C$83:$D95)</f>
        <v>1.7466379687308491</v>
      </c>
      <c r="S95" s="45">
        <f ca="1">DSUM($B$60:$Y$73,S$60,$C$83:$D95)</f>
        <v>1.4039457677269647</v>
      </c>
      <c r="T95" s="45">
        <f ca="1">DSUM($B$60:$Y$73,T$60,$C$83:$D95)</f>
        <v>1.1284246557762654</v>
      </c>
      <c r="U95" s="45">
        <f ca="1">DSUM($B$60:$Y$73,U$60,$C$83:$D95)</f>
        <v>7.7317599235525144E-3</v>
      </c>
      <c r="V95" s="45">
        <f ca="1">DSUM($B$60:$Y$73,V$60,$C$83:$D95)</f>
        <v>2.7733584992660305E-3</v>
      </c>
      <c r="W95" s="45">
        <f ca="1">DSUM($B$60:$Y$73,W$60,$C$83:$D95)</f>
        <v>9.4953404182574592E-4</v>
      </c>
      <c r="X95" s="45">
        <f ca="1">DSUM($B$60:$Y$73,X$60,$C$83:$D95)</f>
        <v>3.1095475943330395E-4</v>
      </c>
      <c r="Y95" s="32">
        <f ca="1">DSUM($B$60:$Y$73,Y$60,$C$83:$D95)</f>
        <v>108.64035927760769</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1:79">
      <c r="B96" s="7" t="s">
        <v>113</v>
      </c>
      <c r="C96" s="48" t="s">
        <v>114</v>
      </c>
      <c r="D96" s="48" t="s">
        <v>115</v>
      </c>
      <c r="E96" s="45">
        <f ca="1">DSUM($B$60:$Y$73,E$60,$C$83:$D96)</f>
        <v>10.461727763948119</v>
      </c>
      <c r="F96" s="45">
        <f ca="1">DSUM($B$60:$Y$73,F$60,$C$83:$D96)</f>
        <v>10.606772925036143</v>
      </c>
      <c r="G96" s="45">
        <f ca="1">DSUM($B$60:$Y$73,G$60,$C$83:$D96)</f>
        <v>10.737376355034925</v>
      </c>
      <c r="H96" s="45">
        <f ca="1">DSUM($B$60:$Y$73,H$60,$C$83:$D96)</f>
        <v>10.853622943077907</v>
      </c>
      <c r="I96" s="45">
        <f ca="1">DSUM($B$60:$Y$73,I$60,$C$83:$D96)</f>
        <v>10.956952481301784</v>
      </c>
      <c r="J96" s="45">
        <f ca="1">DSUM($B$60:$Y$73,J$60,$C$83:$D96)</f>
        <v>9.9426630102608531</v>
      </c>
      <c r="K96" s="45">
        <f ca="1">DSUM($B$60:$Y$73,K$60,$C$83:$D96)</f>
        <v>8.0107042257690217</v>
      </c>
      <c r="L96" s="45">
        <f ca="1">DSUM($B$60:$Y$73,L$60,$C$83:$D96)</f>
        <v>6.4494580402506561</v>
      </c>
      <c r="M96" s="45">
        <f ca="1">DSUM($B$60:$Y$73,M$60,$C$83:$D96)</f>
        <v>5.1905067022441154</v>
      </c>
      <c r="N96" s="45">
        <f ca="1">DSUM($B$60:$Y$73,N$60,$C$83:$D96)</f>
        <v>4.1759425219497341</v>
      </c>
      <c r="O96" s="45">
        <f ca="1">DSUM($B$60:$Y$73,O$60,$C$83:$D96)</f>
        <v>3.359353703671752</v>
      </c>
      <c r="P96" s="45">
        <f ca="1">DSUM($B$60:$Y$73,P$60,$C$83:$D96)</f>
        <v>2.7019710338266063</v>
      </c>
      <c r="Q96" s="45">
        <f ca="1">DSUM($B$60:$Y$73,Q$60,$C$83:$D96)</f>
        <v>2.1727047898177565</v>
      </c>
      <c r="R96" s="45">
        <f ca="1">DSUM($B$60:$Y$73,R$60,$C$83:$D96)</f>
        <v>1.7466379687308491</v>
      </c>
      <c r="S96" s="45">
        <f ca="1">DSUM($B$60:$Y$73,S$60,$C$83:$D96)</f>
        <v>1.4039457677269647</v>
      </c>
      <c r="T96" s="45">
        <f ca="1">DSUM($B$60:$Y$73,T$60,$C$83:$D96)</f>
        <v>1.1284246557762654</v>
      </c>
      <c r="U96" s="45">
        <f ca="1">DSUM($B$60:$Y$73,U$60,$C$83:$D96)</f>
        <v>7.7317599235525144E-3</v>
      </c>
      <c r="V96" s="45">
        <f ca="1">DSUM($B$60:$Y$73,V$60,$C$83:$D96)</f>
        <v>2.7733584992660305E-3</v>
      </c>
      <c r="W96" s="45">
        <f ca="1">DSUM($B$60:$Y$73,W$60,$C$83:$D96)</f>
        <v>9.4953404182574592E-4</v>
      </c>
      <c r="X96" s="45">
        <f ca="1">DSUM($B$60:$Y$73,X$60,$C$83:$D96)</f>
        <v>3.1095475943330395E-4</v>
      </c>
      <c r="Y96" s="32">
        <f ca="1">DSUM($B$60:$Y$73,Y$60,$C$83:$D96)</f>
        <v>108.64035927760769</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2:79">
      <c r="B97" s="7" t="s">
        <v>116</v>
      </c>
      <c r="C97" s="48" t="s">
        <v>117</v>
      </c>
      <c r="D97" s="48" t="s">
        <v>118</v>
      </c>
      <c r="E97" s="45">
        <f ca="1">DSUM($B$60:$Y$73,E$60,$C$83:$D97)</f>
        <v>10.461727763948119</v>
      </c>
      <c r="F97" s="45">
        <f ca="1">DSUM($B$60:$Y$73,F$60,$C$83:$D97)</f>
        <v>10.606772925036143</v>
      </c>
      <c r="G97" s="45">
        <f ca="1">DSUM($B$60:$Y$73,G$60,$C$83:$D97)</f>
        <v>10.737376355034925</v>
      </c>
      <c r="H97" s="45">
        <f ca="1">DSUM($B$60:$Y$73,H$60,$C$83:$D97)</f>
        <v>10.853622943077907</v>
      </c>
      <c r="I97" s="45">
        <f ca="1">DSUM($B$60:$Y$73,I$60,$C$83:$D97)</f>
        <v>10.956952481301784</v>
      </c>
      <c r="J97" s="45">
        <f ca="1">DSUM($B$60:$Y$73,J$60,$C$83:$D97)</f>
        <v>9.9426630102608531</v>
      </c>
      <c r="K97" s="45">
        <f ca="1">DSUM($B$60:$Y$73,K$60,$C$83:$D97)</f>
        <v>8.0107042257690217</v>
      </c>
      <c r="L97" s="45">
        <f ca="1">DSUM($B$60:$Y$73,L$60,$C$83:$D97)</f>
        <v>6.4494580402506561</v>
      </c>
      <c r="M97" s="45">
        <f ca="1">DSUM($B$60:$Y$73,M$60,$C$83:$D97)</f>
        <v>5.1905067022441154</v>
      </c>
      <c r="N97" s="45">
        <f ca="1">DSUM($B$60:$Y$73,N$60,$C$83:$D97)</f>
        <v>4.1759425219497341</v>
      </c>
      <c r="O97" s="45">
        <f ca="1">DSUM($B$60:$Y$73,O$60,$C$83:$D97)</f>
        <v>3.359353703671752</v>
      </c>
      <c r="P97" s="45">
        <f ca="1">DSUM($B$60:$Y$73,P$60,$C$83:$D97)</f>
        <v>2.7019710338266063</v>
      </c>
      <c r="Q97" s="45">
        <f ca="1">DSUM($B$60:$Y$73,Q$60,$C$83:$D97)</f>
        <v>2.1727047898177565</v>
      </c>
      <c r="R97" s="45">
        <f ca="1">DSUM($B$60:$Y$73,R$60,$C$83:$D97)</f>
        <v>1.7466379687308491</v>
      </c>
      <c r="S97" s="45">
        <f ca="1">DSUM($B$60:$Y$73,S$60,$C$83:$D97)</f>
        <v>1.4039457677269647</v>
      </c>
      <c r="T97" s="45">
        <f ca="1">DSUM($B$60:$Y$73,T$60,$C$83:$D97)</f>
        <v>1.1284246557762654</v>
      </c>
      <c r="U97" s="45">
        <f ca="1">DSUM($B$60:$Y$73,U$60,$C$83:$D97)</f>
        <v>7.7317599235525144E-3</v>
      </c>
      <c r="V97" s="45">
        <f ca="1">DSUM($B$60:$Y$73,V$60,$C$83:$D97)</f>
        <v>2.7733584992660305E-3</v>
      </c>
      <c r="W97" s="45">
        <f ca="1">DSUM($B$60:$Y$73,W$60,$C$83:$D97)</f>
        <v>9.4953404182574592E-4</v>
      </c>
      <c r="X97" s="45">
        <f ca="1">DSUM($B$60:$Y$73,X$60,$C$83:$D97)</f>
        <v>3.1095475943330395E-4</v>
      </c>
      <c r="Y97" s="32">
        <f ca="1">DSUM($B$60:$Y$73,Y$60,$C$83:$D97)</f>
        <v>108.64035927760769</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2:79">
      <c r="B98" s="7" t="s">
        <v>119</v>
      </c>
      <c r="C98" s="48" t="s">
        <v>120</v>
      </c>
      <c r="D98" s="48" t="s">
        <v>121</v>
      </c>
      <c r="E98" s="45">
        <f ca="1">DSUM($B$60:$Y$73,E$60,$C$83:$D98)</f>
        <v>10.461727763948119</v>
      </c>
      <c r="F98" s="45">
        <f ca="1">DSUM($B$60:$Y$73,F$60,$C$83:$D98)</f>
        <v>10.606772925036143</v>
      </c>
      <c r="G98" s="45">
        <f ca="1">DSUM($B$60:$Y$73,G$60,$C$83:$D98)</f>
        <v>10.737376355034925</v>
      </c>
      <c r="H98" s="45">
        <f ca="1">DSUM($B$60:$Y$73,H$60,$C$83:$D98)</f>
        <v>10.853622943077907</v>
      </c>
      <c r="I98" s="45">
        <f ca="1">DSUM($B$60:$Y$73,I$60,$C$83:$D98)</f>
        <v>10.956952481301784</v>
      </c>
      <c r="J98" s="45">
        <f ca="1">DSUM($B$60:$Y$73,J$60,$C$83:$D98)</f>
        <v>9.9426630102608531</v>
      </c>
      <c r="K98" s="45">
        <f ca="1">DSUM($B$60:$Y$73,K$60,$C$83:$D98)</f>
        <v>8.0107042257690217</v>
      </c>
      <c r="L98" s="45">
        <f ca="1">DSUM($B$60:$Y$73,L$60,$C$83:$D98)</f>
        <v>6.4494580402506561</v>
      </c>
      <c r="M98" s="45">
        <f ca="1">DSUM($B$60:$Y$73,M$60,$C$83:$D98)</f>
        <v>5.1905067022441154</v>
      </c>
      <c r="N98" s="45">
        <f ca="1">DSUM($B$60:$Y$73,N$60,$C$83:$D98)</f>
        <v>4.1759425219497341</v>
      </c>
      <c r="O98" s="45">
        <f ca="1">DSUM($B$60:$Y$73,O$60,$C$83:$D98)</f>
        <v>3.359353703671752</v>
      </c>
      <c r="P98" s="45">
        <f ca="1">DSUM($B$60:$Y$73,P$60,$C$83:$D98)</f>
        <v>2.7019710338266063</v>
      </c>
      <c r="Q98" s="45">
        <f ca="1">DSUM($B$60:$Y$73,Q$60,$C$83:$D98)</f>
        <v>2.1727047898177565</v>
      </c>
      <c r="R98" s="45">
        <f ca="1">DSUM($B$60:$Y$73,R$60,$C$83:$D98)</f>
        <v>1.7466379687308491</v>
      </c>
      <c r="S98" s="45">
        <f ca="1">DSUM($B$60:$Y$73,S$60,$C$83:$D98)</f>
        <v>1.4039457677269647</v>
      </c>
      <c r="T98" s="45">
        <f ca="1">DSUM($B$60:$Y$73,T$60,$C$83:$D98)</f>
        <v>1.1284246557762654</v>
      </c>
      <c r="U98" s="45">
        <f ca="1">DSUM($B$60:$Y$73,U$60,$C$83:$D98)</f>
        <v>7.7317599235525144E-3</v>
      </c>
      <c r="V98" s="45">
        <f ca="1">DSUM($B$60:$Y$73,V$60,$C$83:$D98)</f>
        <v>2.7733584992660305E-3</v>
      </c>
      <c r="W98" s="45">
        <f ca="1">DSUM($B$60:$Y$73,W$60,$C$83:$D98)</f>
        <v>9.4953404182574592E-4</v>
      </c>
      <c r="X98" s="45">
        <f ca="1">DSUM($B$60:$Y$73,X$60,$C$83:$D98)</f>
        <v>3.1095475943330395E-4</v>
      </c>
      <c r="Y98" s="32">
        <f ca="1">DSUM($B$60:$Y$73,Y$60,$C$83:$D98)</f>
        <v>108.64035927760769</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2:79">
      <c r="B99" s="7" t="s">
        <v>122</v>
      </c>
      <c r="C99" s="48" t="s">
        <v>123</v>
      </c>
      <c r="D99" s="48" t="s">
        <v>124</v>
      </c>
      <c r="E99" s="45">
        <f ca="1">DSUM($B$60:$Y$73,E$60,$C$83:$D99)</f>
        <v>10.461727763948119</v>
      </c>
      <c r="F99" s="45">
        <f ca="1">DSUM($B$60:$Y$73,F$60,$C$83:$D99)</f>
        <v>10.606772925036143</v>
      </c>
      <c r="G99" s="45">
        <f ca="1">DSUM($B$60:$Y$73,G$60,$C$83:$D99)</f>
        <v>10.737376355034925</v>
      </c>
      <c r="H99" s="45">
        <f ca="1">DSUM($B$60:$Y$73,H$60,$C$83:$D99)</f>
        <v>10.853622943077907</v>
      </c>
      <c r="I99" s="45">
        <f ca="1">DSUM($B$60:$Y$73,I$60,$C$83:$D99)</f>
        <v>10.956952481301784</v>
      </c>
      <c r="J99" s="45">
        <f ca="1">DSUM($B$60:$Y$73,J$60,$C$83:$D99)</f>
        <v>9.9426630102608531</v>
      </c>
      <c r="K99" s="45">
        <f ca="1">DSUM($B$60:$Y$73,K$60,$C$83:$D99)</f>
        <v>8.0107042257690217</v>
      </c>
      <c r="L99" s="45">
        <f ca="1">DSUM($B$60:$Y$73,L$60,$C$83:$D99)</f>
        <v>6.4494580402506561</v>
      </c>
      <c r="M99" s="45">
        <f ca="1">DSUM($B$60:$Y$73,M$60,$C$83:$D99)</f>
        <v>5.1905067022441154</v>
      </c>
      <c r="N99" s="45">
        <f ca="1">DSUM($B$60:$Y$73,N$60,$C$83:$D99)</f>
        <v>4.1759425219497341</v>
      </c>
      <c r="O99" s="45">
        <f ca="1">DSUM($B$60:$Y$73,O$60,$C$83:$D99)</f>
        <v>3.359353703671752</v>
      </c>
      <c r="P99" s="45">
        <f ca="1">DSUM($B$60:$Y$73,P$60,$C$83:$D99)</f>
        <v>2.7019710338266063</v>
      </c>
      <c r="Q99" s="45">
        <f ca="1">DSUM($B$60:$Y$73,Q$60,$C$83:$D99)</f>
        <v>2.1727047898177565</v>
      </c>
      <c r="R99" s="45">
        <f ca="1">DSUM($B$60:$Y$73,R$60,$C$83:$D99)</f>
        <v>1.7466379687308491</v>
      </c>
      <c r="S99" s="45">
        <f ca="1">DSUM($B$60:$Y$73,S$60,$C$83:$D99)</f>
        <v>1.4039457677269647</v>
      </c>
      <c r="T99" s="45">
        <f ca="1">DSUM($B$60:$Y$73,T$60,$C$83:$D99)</f>
        <v>1.1284246557762654</v>
      </c>
      <c r="U99" s="45">
        <f ca="1">DSUM($B$60:$Y$73,U$60,$C$83:$D99)</f>
        <v>7.7317599235525144E-3</v>
      </c>
      <c r="V99" s="45">
        <f ca="1">DSUM($B$60:$Y$73,V$60,$C$83:$D99)</f>
        <v>2.7733584992660305E-3</v>
      </c>
      <c r="W99" s="45">
        <f ca="1">DSUM($B$60:$Y$73,W$60,$C$83:$D99)</f>
        <v>9.4953404182574592E-4</v>
      </c>
      <c r="X99" s="45">
        <f ca="1">DSUM($B$60:$Y$73,X$60,$C$83:$D99)</f>
        <v>3.1095475943330395E-4</v>
      </c>
      <c r="Y99" s="32">
        <f ca="1">DSUM($B$60:$Y$73,Y$60,$C$83:$D99)</f>
        <v>108.64035927760769</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2:79">
      <c r="B100" s="7" t="s">
        <v>125</v>
      </c>
      <c r="C100" s="48" t="s">
        <v>126</v>
      </c>
      <c r="D100" s="48" t="s">
        <v>127</v>
      </c>
      <c r="E100" s="45">
        <f ca="1">DSUM($B$60:$Y$73,E$60,$C$83:$D100)</f>
        <v>10.461727763948119</v>
      </c>
      <c r="F100" s="45">
        <f ca="1">DSUM($B$60:$Y$73,F$60,$C$83:$D100)</f>
        <v>10.606772925036143</v>
      </c>
      <c r="G100" s="45">
        <f ca="1">DSUM($B$60:$Y$73,G$60,$C$83:$D100)</f>
        <v>10.737376355034925</v>
      </c>
      <c r="H100" s="45">
        <f ca="1">DSUM($B$60:$Y$73,H$60,$C$83:$D100)</f>
        <v>10.853622943077907</v>
      </c>
      <c r="I100" s="45">
        <f ca="1">DSUM($B$60:$Y$73,I$60,$C$83:$D100)</f>
        <v>10.956952481301784</v>
      </c>
      <c r="J100" s="45">
        <f ca="1">DSUM($B$60:$Y$73,J$60,$C$83:$D100)</f>
        <v>9.9426630102608531</v>
      </c>
      <c r="K100" s="45">
        <f ca="1">DSUM($B$60:$Y$73,K$60,$C$83:$D100)</f>
        <v>8.0107042257690217</v>
      </c>
      <c r="L100" s="45">
        <f ca="1">DSUM($B$60:$Y$73,L$60,$C$83:$D100)</f>
        <v>6.4494580402506561</v>
      </c>
      <c r="M100" s="45">
        <f ca="1">DSUM($B$60:$Y$73,M$60,$C$83:$D100)</f>
        <v>5.1905067022441154</v>
      </c>
      <c r="N100" s="45">
        <f ca="1">DSUM($B$60:$Y$73,N$60,$C$83:$D100)</f>
        <v>4.1759425219497341</v>
      </c>
      <c r="O100" s="45">
        <f ca="1">DSUM($B$60:$Y$73,O$60,$C$83:$D100)</f>
        <v>3.359353703671752</v>
      </c>
      <c r="P100" s="45">
        <f ca="1">DSUM($B$60:$Y$73,P$60,$C$83:$D100)</f>
        <v>2.7019710338266063</v>
      </c>
      <c r="Q100" s="45">
        <f ca="1">DSUM($B$60:$Y$73,Q$60,$C$83:$D100)</f>
        <v>2.1727047898177565</v>
      </c>
      <c r="R100" s="45">
        <f ca="1">DSUM($B$60:$Y$73,R$60,$C$83:$D100)</f>
        <v>1.7466379687308491</v>
      </c>
      <c r="S100" s="45">
        <f ca="1">DSUM($B$60:$Y$73,S$60,$C$83:$D100)</f>
        <v>1.4039457677269647</v>
      </c>
      <c r="T100" s="45">
        <f ca="1">DSUM($B$60:$Y$73,T$60,$C$83:$D100)</f>
        <v>1.1284246557762654</v>
      </c>
      <c r="U100" s="45">
        <f ca="1">DSUM($B$60:$Y$73,U$60,$C$83:$D100)</f>
        <v>7.7317599235525144E-3</v>
      </c>
      <c r="V100" s="45">
        <f ca="1">DSUM($B$60:$Y$73,V$60,$C$83:$D100)</f>
        <v>2.7733584992660305E-3</v>
      </c>
      <c r="W100" s="45">
        <f ca="1">DSUM($B$60:$Y$73,W$60,$C$83:$D100)</f>
        <v>9.4953404182574592E-4</v>
      </c>
      <c r="X100" s="45">
        <f ca="1">DSUM($B$60:$Y$73,X$60,$C$83:$D100)</f>
        <v>3.1095475943330395E-4</v>
      </c>
      <c r="Y100" s="32">
        <f ca="1">DSUM($B$60:$Y$73,Y$60,$C$83:$D100)</f>
        <v>108.64035927760769</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2:79">
      <c r="B101" s="7" t="s">
        <v>128</v>
      </c>
      <c r="C101" s="48" t="s">
        <v>129</v>
      </c>
      <c r="D101" s="48" t="s">
        <v>130</v>
      </c>
      <c r="E101" s="45">
        <f ca="1">DSUM($B$60:$Y$73,E$60,$C$83:$D101)</f>
        <v>10.461727763948119</v>
      </c>
      <c r="F101" s="45">
        <f ca="1">DSUM($B$60:$Y$73,F$60,$C$83:$D101)</f>
        <v>10.606772925036143</v>
      </c>
      <c r="G101" s="45">
        <f ca="1">DSUM($B$60:$Y$73,G$60,$C$83:$D101)</f>
        <v>10.737376355034925</v>
      </c>
      <c r="H101" s="45">
        <f ca="1">DSUM($B$60:$Y$73,H$60,$C$83:$D101)</f>
        <v>10.853622943077907</v>
      </c>
      <c r="I101" s="45">
        <f ca="1">DSUM($B$60:$Y$73,I$60,$C$83:$D101)</f>
        <v>10.956952481301784</v>
      </c>
      <c r="J101" s="45">
        <f ca="1">DSUM($B$60:$Y$73,J$60,$C$83:$D101)</f>
        <v>9.9426630102608531</v>
      </c>
      <c r="K101" s="45">
        <f ca="1">DSUM($B$60:$Y$73,K$60,$C$83:$D101)</f>
        <v>8.0107042257690217</v>
      </c>
      <c r="L101" s="45">
        <f ca="1">DSUM($B$60:$Y$73,L$60,$C$83:$D101)</f>
        <v>6.4494580402506561</v>
      </c>
      <c r="M101" s="45">
        <f ca="1">DSUM($B$60:$Y$73,M$60,$C$83:$D101)</f>
        <v>5.1905067022441154</v>
      </c>
      <c r="N101" s="45">
        <f ca="1">DSUM($B$60:$Y$73,N$60,$C$83:$D101)</f>
        <v>4.1759425219497341</v>
      </c>
      <c r="O101" s="45">
        <f ca="1">DSUM($B$60:$Y$73,O$60,$C$83:$D101)</f>
        <v>3.359353703671752</v>
      </c>
      <c r="P101" s="45">
        <f ca="1">DSUM($B$60:$Y$73,P$60,$C$83:$D101)</f>
        <v>2.7019710338266063</v>
      </c>
      <c r="Q101" s="45">
        <f ca="1">DSUM($B$60:$Y$73,Q$60,$C$83:$D101)</f>
        <v>2.1727047898177565</v>
      </c>
      <c r="R101" s="45">
        <f ca="1">DSUM($B$60:$Y$73,R$60,$C$83:$D101)</f>
        <v>1.7466379687308491</v>
      </c>
      <c r="S101" s="45">
        <f ca="1">DSUM($B$60:$Y$73,S$60,$C$83:$D101)</f>
        <v>1.4039457677269647</v>
      </c>
      <c r="T101" s="45">
        <f ca="1">DSUM($B$60:$Y$73,T$60,$C$83:$D101)</f>
        <v>1.1284246557762654</v>
      </c>
      <c r="U101" s="45">
        <f ca="1">DSUM($B$60:$Y$73,U$60,$C$83:$D101)</f>
        <v>7.7317599235525144E-3</v>
      </c>
      <c r="V101" s="45">
        <f ca="1">DSUM($B$60:$Y$73,V$60,$C$83:$D101)</f>
        <v>2.7733584992660305E-3</v>
      </c>
      <c r="W101" s="45">
        <f ca="1">DSUM($B$60:$Y$73,W$60,$C$83:$D101)</f>
        <v>9.4953404182574592E-4</v>
      </c>
      <c r="X101" s="45">
        <f ca="1">DSUM($B$60:$Y$73,X$60,$C$83:$D101)</f>
        <v>3.1095475943330395E-4</v>
      </c>
      <c r="Y101" s="32">
        <f ca="1">DSUM($B$60:$Y$73,Y$60,$C$83:$D101)</f>
        <v>108.64035927760769</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2:79">
      <c r="B102" s="7" t="s">
        <v>131</v>
      </c>
      <c r="C102" s="48" t="s">
        <v>132</v>
      </c>
      <c r="D102" s="48" t="s">
        <v>133</v>
      </c>
      <c r="E102" s="45">
        <f ca="1">DSUM($B$60:$Y$73,E$60,$C$83:$D102)</f>
        <v>10.461727763948119</v>
      </c>
      <c r="F102" s="45">
        <f ca="1">DSUM($B$60:$Y$73,F$60,$C$83:$D102)</f>
        <v>10.606772925036143</v>
      </c>
      <c r="G102" s="45">
        <f ca="1">DSUM($B$60:$Y$73,G$60,$C$83:$D102)</f>
        <v>10.737376355034925</v>
      </c>
      <c r="H102" s="45">
        <f ca="1">DSUM($B$60:$Y$73,H$60,$C$83:$D102)</f>
        <v>10.853622943077907</v>
      </c>
      <c r="I102" s="45">
        <f ca="1">DSUM($B$60:$Y$73,I$60,$C$83:$D102)</f>
        <v>10.956952481301784</v>
      </c>
      <c r="J102" s="45">
        <f ca="1">DSUM($B$60:$Y$73,J$60,$C$83:$D102)</f>
        <v>9.9426630102608531</v>
      </c>
      <c r="K102" s="45">
        <f ca="1">DSUM($B$60:$Y$73,K$60,$C$83:$D102)</f>
        <v>8.0107042257690217</v>
      </c>
      <c r="L102" s="45">
        <f ca="1">DSUM($B$60:$Y$73,L$60,$C$83:$D102)</f>
        <v>6.4494580402506561</v>
      </c>
      <c r="M102" s="45">
        <f ca="1">DSUM($B$60:$Y$73,M$60,$C$83:$D102)</f>
        <v>5.1905067022441154</v>
      </c>
      <c r="N102" s="45">
        <f ca="1">DSUM($B$60:$Y$73,N$60,$C$83:$D102)</f>
        <v>4.1759425219497341</v>
      </c>
      <c r="O102" s="45">
        <f ca="1">DSUM($B$60:$Y$73,O$60,$C$83:$D102)</f>
        <v>3.359353703671752</v>
      </c>
      <c r="P102" s="45">
        <f ca="1">DSUM($B$60:$Y$73,P$60,$C$83:$D102)</f>
        <v>2.7019710338266063</v>
      </c>
      <c r="Q102" s="45">
        <f ca="1">DSUM($B$60:$Y$73,Q$60,$C$83:$D102)</f>
        <v>2.1727047898177565</v>
      </c>
      <c r="R102" s="45">
        <f ca="1">DSUM($B$60:$Y$73,R$60,$C$83:$D102)</f>
        <v>1.7466379687308491</v>
      </c>
      <c r="S102" s="45">
        <f ca="1">DSUM($B$60:$Y$73,S$60,$C$83:$D102)</f>
        <v>1.4039457677269647</v>
      </c>
      <c r="T102" s="45">
        <f ca="1">DSUM($B$60:$Y$73,T$60,$C$83:$D102)</f>
        <v>1.1284246557762654</v>
      </c>
      <c r="U102" s="45">
        <f ca="1">DSUM($B$60:$Y$73,U$60,$C$83:$D102)</f>
        <v>7.7317599235525144E-3</v>
      </c>
      <c r="V102" s="45">
        <f ca="1">DSUM($B$60:$Y$73,V$60,$C$83:$D102)</f>
        <v>2.7733584992660305E-3</v>
      </c>
      <c r="W102" s="45">
        <f ca="1">DSUM($B$60:$Y$73,W$60,$C$83:$D102)</f>
        <v>9.4953404182574592E-4</v>
      </c>
      <c r="X102" s="45">
        <f ca="1">DSUM($B$60:$Y$73,X$60,$C$83:$D102)</f>
        <v>3.1095475943330395E-4</v>
      </c>
      <c r="Y102" s="32">
        <f ca="1">DSUM($B$60:$Y$73,Y$60,$C$83:$D102)</f>
        <v>108.64035927760769</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2:79">
      <c r="B103" s="7" t="s">
        <v>134</v>
      </c>
      <c r="C103" s="48" t="s">
        <v>135</v>
      </c>
      <c r="D103" s="48" t="s">
        <v>136</v>
      </c>
      <c r="E103" s="45">
        <f ca="1">DSUM($B$60:$Y$73,E$60,$C$83:$D103)</f>
        <v>10.461727763948119</v>
      </c>
      <c r="F103" s="45">
        <f ca="1">DSUM($B$60:$Y$73,F$60,$C$83:$D103)</f>
        <v>10.606772925036143</v>
      </c>
      <c r="G103" s="45">
        <f ca="1">DSUM($B$60:$Y$73,G$60,$C$83:$D103)</f>
        <v>10.737376355034925</v>
      </c>
      <c r="H103" s="45">
        <f ca="1">DSUM($B$60:$Y$73,H$60,$C$83:$D103)</f>
        <v>10.853622943077907</v>
      </c>
      <c r="I103" s="45">
        <f ca="1">DSUM($B$60:$Y$73,I$60,$C$83:$D103)</f>
        <v>10.956952481301784</v>
      </c>
      <c r="J103" s="45">
        <f ca="1">DSUM($B$60:$Y$73,J$60,$C$83:$D103)</f>
        <v>9.9426630102608531</v>
      </c>
      <c r="K103" s="45">
        <f ca="1">DSUM($B$60:$Y$73,K$60,$C$83:$D103)</f>
        <v>8.0107042257690217</v>
      </c>
      <c r="L103" s="45">
        <f ca="1">DSUM($B$60:$Y$73,L$60,$C$83:$D103)</f>
        <v>6.4494580402506561</v>
      </c>
      <c r="M103" s="45">
        <f ca="1">DSUM($B$60:$Y$73,M$60,$C$83:$D103)</f>
        <v>5.1905067022441154</v>
      </c>
      <c r="N103" s="45">
        <f ca="1">DSUM($B$60:$Y$73,N$60,$C$83:$D103)</f>
        <v>4.1759425219497341</v>
      </c>
      <c r="O103" s="45">
        <f ca="1">DSUM($B$60:$Y$73,O$60,$C$83:$D103)</f>
        <v>3.359353703671752</v>
      </c>
      <c r="P103" s="45">
        <f ca="1">DSUM($B$60:$Y$73,P$60,$C$83:$D103)</f>
        <v>2.7019710338266063</v>
      </c>
      <c r="Q103" s="45">
        <f ca="1">DSUM($B$60:$Y$73,Q$60,$C$83:$D103)</f>
        <v>2.1727047898177565</v>
      </c>
      <c r="R103" s="45">
        <f ca="1">DSUM($B$60:$Y$73,R$60,$C$83:$D103)</f>
        <v>1.7466379687308491</v>
      </c>
      <c r="S103" s="45">
        <f ca="1">DSUM($B$60:$Y$73,S$60,$C$83:$D103)</f>
        <v>1.4039457677269647</v>
      </c>
      <c r="T103" s="45">
        <f ca="1">DSUM($B$60:$Y$73,T$60,$C$83:$D103)</f>
        <v>1.1284246557762654</v>
      </c>
      <c r="U103" s="45">
        <f ca="1">DSUM($B$60:$Y$73,U$60,$C$83:$D103)</f>
        <v>7.7317599235525144E-3</v>
      </c>
      <c r="V103" s="45">
        <f ca="1">DSUM($B$60:$Y$73,V$60,$C$83:$D103)</f>
        <v>2.7733584992660305E-3</v>
      </c>
      <c r="W103" s="45">
        <f ca="1">DSUM($B$60:$Y$73,W$60,$C$83:$D103)</f>
        <v>9.4953404182574592E-4</v>
      </c>
      <c r="X103" s="45">
        <f ca="1">DSUM($B$60:$Y$73,X$60,$C$83:$D103)</f>
        <v>3.1095475943330395E-4</v>
      </c>
      <c r="Y103" s="32">
        <f ca="1">DSUM($B$60:$Y$73,Y$60,$C$83:$D103)</f>
        <v>108.64035927760769</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2:79">
      <c r="B104" s="7" t="s">
        <v>137</v>
      </c>
      <c r="C104" s="48" t="s">
        <v>138</v>
      </c>
      <c r="D104" s="48" t="s">
        <v>139</v>
      </c>
      <c r="E104" s="45">
        <f ca="1">DSUM($B$60:$Y$73,E$60,$C$83:$D104)</f>
        <v>10.461727763948119</v>
      </c>
      <c r="F104" s="45">
        <f ca="1">DSUM($B$60:$Y$73,F$60,$C$83:$D104)</f>
        <v>10.606772925036143</v>
      </c>
      <c r="G104" s="45">
        <f ca="1">DSUM($B$60:$Y$73,G$60,$C$83:$D104)</f>
        <v>10.737376355034925</v>
      </c>
      <c r="H104" s="45">
        <f ca="1">DSUM($B$60:$Y$73,H$60,$C$83:$D104)</f>
        <v>10.853622943077907</v>
      </c>
      <c r="I104" s="45">
        <f ca="1">DSUM($B$60:$Y$73,I$60,$C$83:$D104)</f>
        <v>10.956952481301784</v>
      </c>
      <c r="J104" s="45">
        <f ca="1">DSUM($B$60:$Y$73,J$60,$C$83:$D104)</f>
        <v>9.9426630102608531</v>
      </c>
      <c r="K104" s="45">
        <f ca="1">DSUM($B$60:$Y$73,K$60,$C$83:$D104)</f>
        <v>8.0107042257690217</v>
      </c>
      <c r="L104" s="45">
        <f ca="1">DSUM($B$60:$Y$73,L$60,$C$83:$D104)</f>
        <v>6.4494580402506561</v>
      </c>
      <c r="M104" s="45">
        <f ca="1">DSUM($B$60:$Y$73,M$60,$C$83:$D104)</f>
        <v>5.1905067022441154</v>
      </c>
      <c r="N104" s="45">
        <f ca="1">DSUM($B$60:$Y$73,N$60,$C$83:$D104)</f>
        <v>4.1759425219497341</v>
      </c>
      <c r="O104" s="45">
        <f ca="1">DSUM($B$60:$Y$73,O$60,$C$83:$D104)</f>
        <v>3.359353703671752</v>
      </c>
      <c r="P104" s="45">
        <f ca="1">DSUM($B$60:$Y$73,P$60,$C$83:$D104)</f>
        <v>2.7019710338266063</v>
      </c>
      <c r="Q104" s="45">
        <f ca="1">DSUM($B$60:$Y$73,Q$60,$C$83:$D104)</f>
        <v>2.1727047898177565</v>
      </c>
      <c r="R104" s="45">
        <f ca="1">DSUM($B$60:$Y$73,R$60,$C$83:$D104)</f>
        <v>1.7466379687308491</v>
      </c>
      <c r="S104" s="45">
        <f ca="1">DSUM($B$60:$Y$73,S$60,$C$83:$D104)</f>
        <v>1.4039457677269647</v>
      </c>
      <c r="T104" s="45">
        <f ca="1">DSUM($B$60:$Y$73,T$60,$C$83:$D104)</f>
        <v>1.1284246557762654</v>
      </c>
      <c r="U104" s="45">
        <f ca="1">DSUM($B$60:$Y$73,U$60,$C$83:$D104)</f>
        <v>7.7317599235525144E-3</v>
      </c>
      <c r="V104" s="45">
        <f ca="1">DSUM($B$60:$Y$73,V$60,$C$83:$D104)</f>
        <v>2.7733584992660305E-3</v>
      </c>
      <c r="W104" s="45">
        <f ca="1">DSUM($B$60:$Y$73,W$60,$C$83:$D104)</f>
        <v>9.4953404182574592E-4</v>
      </c>
      <c r="X104" s="45">
        <f ca="1">DSUM($B$60:$Y$73,X$60,$C$83:$D104)</f>
        <v>3.1095475943330395E-4</v>
      </c>
      <c r="Y104" s="32">
        <f ca="1">DSUM($B$60:$Y$73,Y$60,$C$83:$D104)</f>
        <v>108.64035927760769</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2:79">
      <c r="B105" s="7" t="s">
        <v>558</v>
      </c>
      <c r="C105" s="48" t="s">
        <v>141</v>
      </c>
      <c r="D105" s="48" t="s">
        <v>559</v>
      </c>
      <c r="E105" s="45">
        <f ca="1">DSUM($B$60:$Y$73,E$60,$C$83:$D105)</f>
        <v>10.461727763948119</v>
      </c>
      <c r="F105" s="45">
        <f ca="1">DSUM($B$60:$Y$73,F$60,$C$83:$D105)</f>
        <v>10.606772925036143</v>
      </c>
      <c r="G105" s="45">
        <f ca="1">DSUM($B$60:$Y$73,G$60,$C$83:$D105)</f>
        <v>10.737376355034925</v>
      </c>
      <c r="H105" s="45">
        <f ca="1">DSUM($B$60:$Y$73,H$60,$C$83:$D105)</f>
        <v>10.853622943077907</v>
      </c>
      <c r="I105" s="45">
        <f ca="1">DSUM($B$60:$Y$73,I$60,$C$83:$D105)</f>
        <v>10.956952481301784</v>
      </c>
      <c r="J105" s="45">
        <f ca="1">DSUM($B$60:$Y$73,J$60,$C$83:$D105)</f>
        <v>9.9426630102608531</v>
      </c>
      <c r="K105" s="45">
        <f ca="1">DSUM($B$60:$Y$73,K$60,$C$83:$D105)</f>
        <v>8.0107042257690217</v>
      </c>
      <c r="L105" s="45">
        <f ca="1">DSUM($B$60:$Y$73,L$60,$C$83:$D105)</f>
        <v>6.4494580402506561</v>
      </c>
      <c r="M105" s="45">
        <f ca="1">DSUM($B$60:$Y$73,M$60,$C$83:$D105)</f>
        <v>5.1905067022441154</v>
      </c>
      <c r="N105" s="45">
        <f ca="1">DSUM($B$60:$Y$73,N$60,$C$83:$D105)</f>
        <v>4.1759425219497341</v>
      </c>
      <c r="O105" s="45">
        <f ca="1">DSUM($B$60:$Y$73,O$60,$C$83:$D105)</f>
        <v>3.359353703671752</v>
      </c>
      <c r="P105" s="45">
        <f ca="1">DSUM($B$60:$Y$73,P$60,$C$83:$D105)</f>
        <v>2.7019710338266063</v>
      </c>
      <c r="Q105" s="45">
        <f ca="1">DSUM($B$60:$Y$73,Q$60,$C$83:$D105)</f>
        <v>2.1727047898177565</v>
      </c>
      <c r="R105" s="45">
        <f ca="1">DSUM($B$60:$Y$73,R$60,$C$83:$D105)</f>
        <v>1.7466379687308491</v>
      </c>
      <c r="S105" s="45">
        <f ca="1">DSUM($B$60:$Y$73,S$60,$C$83:$D105)</f>
        <v>1.4039457677269647</v>
      </c>
      <c r="T105" s="45">
        <f ca="1">DSUM($B$60:$Y$73,T$60,$C$83:$D105)</f>
        <v>1.1284246557762654</v>
      </c>
      <c r="U105" s="45">
        <f ca="1">DSUM($B$60:$Y$73,U$60,$C$83:$D105)</f>
        <v>7.7317599235525144E-3</v>
      </c>
      <c r="V105" s="45">
        <f ca="1">DSUM($B$60:$Y$73,V$60,$C$83:$D105)</f>
        <v>2.7733584992660305E-3</v>
      </c>
      <c r="W105" s="45">
        <f ca="1">DSUM($B$60:$Y$73,W$60,$C$83:$D105)</f>
        <v>9.4953404182574592E-4</v>
      </c>
      <c r="X105" s="45">
        <f ca="1">DSUM($B$60:$Y$73,X$60,$C$83:$D105)</f>
        <v>3.1095475943330395E-4</v>
      </c>
      <c r="Y105" s="32">
        <f ca="1">DSUM($B$60:$Y$73,Y$60,$C$83:$D105)</f>
        <v>108.64035927760769</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2:79">
      <c r="B106" s="7" t="s">
        <v>560</v>
      </c>
      <c r="C106" s="48" t="s">
        <v>561</v>
      </c>
      <c r="D106" s="48" t="s">
        <v>562</v>
      </c>
      <c r="E106" s="45">
        <f ca="1">DSUM($B$60:$Y$73,E$60,$C$83:$D106)</f>
        <v>10.461727763948119</v>
      </c>
      <c r="F106" s="45">
        <f ca="1">DSUM($B$60:$Y$73,F$60,$C$83:$D106)</f>
        <v>10.606772925036143</v>
      </c>
      <c r="G106" s="45">
        <f ca="1">DSUM($B$60:$Y$73,G$60,$C$83:$D106)</f>
        <v>10.737376355034925</v>
      </c>
      <c r="H106" s="45">
        <f ca="1">DSUM($B$60:$Y$73,H$60,$C$83:$D106)</f>
        <v>10.853622943077907</v>
      </c>
      <c r="I106" s="45">
        <f ca="1">DSUM($B$60:$Y$73,I$60,$C$83:$D106)</f>
        <v>10.956952481301784</v>
      </c>
      <c r="J106" s="45">
        <f ca="1">DSUM($B$60:$Y$73,J$60,$C$83:$D106)</f>
        <v>9.9426630102608531</v>
      </c>
      <c r="K106" s="45">
        <f ca="1">DSUM($B$60:$Y$73,K$60,$C$83:$D106)</f>
        <v>8.0107042257690217</v>
      </c>
      <c r="L106" s="45">
        <f ca="1">DSUM($B$60:$Y$73,L$60,$C$83:$D106)</f>
        <v>6.4494580402506561</v>
      </c>
      <c r="M106" s="45">
        <f ca="1">DSUM($B$60:$Y$73,M$60,$C$83:$D106)</f>
        <v>5.1905067022441154</v>
      </c>
      <c r="N106" s="45">
        <f ca="1">DSUM($B$60:$Y$73,N$60,$C$83:$D106)</f>
        <v>4.1759425219497341</v>
      </c>
      <c r="O106" s="45">
        <f ca="1">DSUM($B$60:$Y$73,O$60,$C$83:$D106)</f>
        <v>3.359353703671752</v>
      </c>
      <c r="P106" s="45">
        <f ca="1">DSUM($B$60:$Y$73,P$60,$C$83:$D106)</f>
        <v>2.7019710338266063</v>
      </c>
      <c r="Q106" s="45">
        <f ca="1">DSUM($B$60:$Y$73,Q$60,$C$83:$D106)</f>
        <v>2.1727047898177565</v>
      </c>
      <c r="R106" s="45">
        <f ca="1">DSUM($B$60:$Y$73,R$60,$C$83:$D106)</f>
        <v>1.7466379687308491</v>
      </c>
      <c r="S106" s="45">
        <f ca="1">DSUM($B$60:$Y$73,S$60,$C$83:$D106)</f>
        <v>1.4039457677269647</v>
      </c>
      <c r="T106" s="45">
        <f ca="1">DSUM($B$60:$Y$73,T$60,$C$83:$D106)</f>
        <v>1.1284246557762654</v>
      </c>
      <c r="U106" s="45">
        <f ca="1">DSUM($B$60:$Y$73,U$60,$C$83:$D106)</f>
        <v>7.7317599235525144E-3</v>
      </c>
      <c r="V106" s="45">
        <f ca="1">DSUM($B$60:$Y$73,V$60,$C$83:$D106)</f>
        <v>2.7733584992660305E-3</v>
      </c>
      <c r="W106" s="45">
        <f ca="1">DSUM($B$60:$Y$73,W$60,$C$83:$D106)</f>
        <v>9.4953404182574592E-4</v>
      </c>
      <c r="X106" s="45">
        <f ca="1">DSUM($B$60:$Y$73,X$60,$C$83:$D106)</f>
        <v>3.1095475943330395E-4</v>
      </c>
      <c r="Y106" s="32">
        <f ca="1">DSUM($B$60:$Y$73,Y$60,$C$83:$D106)</f>
        <v>108.64035927760769</v>
      </c>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2:79">
      <c r="B107" s="7" t="s">
        <v>563</v>
      </c>
      <c r="C107" s="48" t="s">
        <v>564</v>
      </c>
      <c r="D107" s="48" t="s">
        <v>565</v>
      </c>
      <c r="E107" s="45">
        <f ca="1">DSUM($B$60:$Y$73,E$60,$C$83:$D107)</f>
        <v>10.461727763948119</v>
      </c>
      <c r="F107" s="45">
        <f ca="1">DSUM($B$60:$Y$73,F$60,$C$83:$D107)</f>
        <v>10.606772925036143</v>
      </c>
      <c r="G107" s="45">
        <f ca="1">DSUM($B$60:$Y$73,G$60,$C$83:$D107)</f>
        <v>10.737376355034925</v>
      </c>
      <c r="H107" s="45">
        <f ca="1">DSUM($B$60:$Y$73,H$60,$C$83:$D107)</f>
        <v>10.853622943077907</v>
      </c>
      <c r="I107" s="45">
        <f ca="1">DSUM($B$60:$Y$73,I$60,$C$83:$D107)</f>
        <v>10.956952481301784</v>
      </c>
      <c r="J107" s="45">
        <f ca="1">DSUM($B$60:$Y$73,J$60,$C$83:$D107)</f>
        <v>9.9426630102608531</v>
      </c>
      <c r="K107" s="45">
        <f ca="1">DSUM($B$60:$Y$73,K$60,$C$83:$D107)</f>
        <v>8.0107042257690217</v>
      </c>
      <c r="L107" s="45">
        <f ca="1">DSUM($B$60:$Y$73,L$60,$C$83:$D107)</f>
        <v>6.4494580402506561</v>
      </c>
      <c r="M107" s="45">
        <f ca="1">DSUM($B$60:$Y$73,M$60,$C$83:$D107)</f>
        <v>5.1905067022441154</v>
      </c>
      <c r="N107" s="45">
        <f ca="1">DSUM($B$60:$Y$73,N$60,$C$83:$D107)</f>
        <v>4.1759425219497341</v>
      </c>
      <c r="O107" s="45">
        <f ca="1">DSUM($B$60:$Y$73,O$60,$C$83:$D107)</f>
        <v>3.359353703671752</v>
      </c>
      <c r="P107" s="45">
        <f ca="1">DSUM($B$60:$Y$73,P$60,$C$83:$D107)</f>
        <v>2.7019710338266063</v>
      </c>
      <c r="Q107" s="45">
        <f ca="1">DSUM($B$60:$Y$73,Q$60,$C$83:$D107)</f>
        <v>2.1727047898177565</v>
      </c>
      <c r="R107" s="45">
        <f ca="1">DSUM($B$60:$Y$73,R$60,$C$83:$D107)</f>
        <v>1.7466379687308491</v>
      </c>
      <c r="S107" s="45">
        <f ca="1">DSUM($B$60:$Y$73,S$60,$C$83:$D107)</f>
        <v>1.4039457677269647</v>
      </c>
      <c r="T107" s="45">
        <f ca="1">DSUM($B$60:$Y$73,T$60,$C$83:$D107)</f>
        <v>1.1284246557762654</v>
      </c>
      <c r="U107" s="45">
        <f ca="1">DSUM($B$60:$Y$73,U$60,$C$83:$D107)</f>
        <v>7.7317599235525144E-3</v>
      </c>
      <c r="V107" s="45">
        <f ca="1">DSUM($B$60:$Y$73,V$60,$C$83:$D107)</f>
        <v>2.7733584992660305E-3</v>
      </c>
      <c r="W107" s="45">
        <f ca="1">DSUM($B$60:$Y$73,W$60,$C$83:$D107)</f>
        <v>9.4953404182574592E-4</v>
      </c>
      <c r="X107" s="45">
        <f ca="1">DSUM($B$60:$Y$73,X$60,$C$83:$D107)</f>
        <v>3.1095475943330395E-4</v>
      </c>
      <c r="Y107" s="32">
        <f ca="1">DSUM($B$60:$Y$73,Y$60,$C$83:$D107)</f>
        <v>108.64035927760769</v>
      </c>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2:79">
      <c r="B108" s="7" t="s">
        <v>566</v>
      </c>
      <c r="C108" s="48" t="s">
        <v>567</v>
      </c>
      <c r="D108" s="48" t="s">
        <v>568</v>
      </c>
      <c r="E108" s="45">
        <f ca="1">DSUM($B$60:$Y$73,E$60,$C$83:$D108)</f>
        <v>10.461727763948119</v>
      </c>
      <c r="F108" s="45">
        <f ca="1">DSUM($B$60:$Y$73,F$60,$C$83:$D108)</f>
        <v>10.606772925036143</v>
      </c>
      <c r="G108" s="45">
        <f ca="1">DSUM($B$60:$Y$73,G$60,$C$83:$D108)</f>
        <v>10.737376355034925</v>
      </c>
      <c r="H108" s="45">
        <f ca="1">DSUM($B$60:$Y$73,H$60,$C$83:$D108)</f>
        <v>10.853622943077907</v>
      </c>
      <c r="I108" s="45">
        <f ca="1">DSUM($B$60:$Y$73,I$60,$C$83:$D108)</f>
        <v>10.956952481301784</v>
      </c>
      <c r="J108" s="45">
        <f ca="1">DSUM($B$60:$Y$73,J$60,$C$83:$D108)</f>
        <v>9.9426630102608531</v>
      </c>
      <c r="K108" s="45">
        <f ca="1">DSUM($B$60:$Y$73,K$60,$C$83:$D108)</f>
        <v>8.0107042257690217</v>
      </c>
      <c r="L108" s="45">
        <f ca="1">DSUM($B$60:$Y$73,L$60,$C$83:$D108)</f>
        <v>6.4494580402506561</v>
      </c>
      <c r="M108" s="45">
        <f ca="1">DSUM($B$60:$Y$73,M$60,$C$83:$D108)</f>
        <v>5.1905067022441154</v>
      </c>
      <c r="N108" s="45">
        <f ca="1">DSUM($B$60:$Y$73,N$60,$C$83:$D108)</f>
        <v>4.1759425219497341</v>
      </c>
      <c r="O108" s="45">
        <f ca="1">DSUM($B$60:$Y$73,O$60,$C$83:$D108)</f>
        <v>3.359353703671752</v>
      </c>
      <c r="P108" s="45">
        <f ca="1">DSUM($B$60:$Y$73,P$60,$C$83:$D108)</f>
        <v>2.7019710338266063</v>
      </c>
      <c r="Q108" s="45">
        <f ca="1">DSUM($B$60:$Y$73,Q$60,$C$83:$D108)</f>
        <v>2.1727047898177565</v>
      </c>
      <c r="R108" s="45">
        <f ca="1">DSUM($B$60:$Y$73,R$60,$C$83:$D108)</f>
        <v>1.7466379687308491</v>
      </c>
      <c r="S108" s="45">
        <f ca="1">DSUM($B$60:$Y$73,S$60,$C$83:$D108)</f>
        <v>1.4039457677269647</v>
      </c>
      <c r="T108" s="45">
        <f ca="1">DSUM($B$60:$Y$73,T$60,$C$83:$D108)</f>
        <v>1.1284246557762654</v>
      </c>
      <c r="U108" s="45">
        <f ca="1">DSUM($B$60:$Y$73,U$60,$C$83:$D108)</f>
        <v>7.7317599235525144E-3</v>
      </c>
      <c r="V108" s="45">
        <f ca="1">DSUM($B$60:$Y$73,V$60,$C$83:$D108)</f>
        <v>2.7733584992660305E-3</v>
      </c>
      <c r="W108" s="45">
        <f ca="1">DSUM($B$60:$Y$73,W$60,$C$83:$D108)</f>
        <v>9.4953404182574592E-4</v>
      </c>
      <c r="X108" s="45">
        <f ca="1">DSUM($B$60:$Y$73,X$60,$C$83:$D108)</f>
        <v>3.1095475943330395E-4</v>
      </c>
      <c r="Y108" s="32">
        <f ca="1">DSUM($B$60:$Y$73,Y$60,$C$83:$D108)</f>
        <v>108.64035927760769</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2:79">
      <c r="B109" s="7" t="s">
        <v>569</v>
      </c>
      <c r="C109" s="48" t="s">
        <v>570</v>
      </c>
      <c r="D109" s="48" t="s">
        <v>571</v>
      </c>
      <c r="E109" s="45">
        <f ca="1">DSUM($B$60:$Y$73,E$60,$C$83:$D109)</f>
        <v>10.461727763948119</v>
      </c>
      <c r="F109" s="45">
        <f ca="1">DSUM($B$60:$Y$73,F$60,$C$83:$D109)</f>
        <v>10.606772925036143</v>
      </c>
      <c r="G109" s="45">
        <f ca="1">DSUM($B$60:$Y$73,G$60,$C$83:$D109)</f>
        <v>10.737376355034925</v>
      </c>
      <c r="H109" s="45">
        <f ca="1">DSUM($B$60:$Y$73,H$60,$C$83:$D109)</f>
        <v>10.853622943077907</v>
      </c>
      <c r="I109" s="45">
        <f ca="1">DSUM($B$60:$Y$73,I$60,$C$83:$D109)</f>
        <v>10.956952481301784</v>
      </c>
      <c r="J109" s="45">
        <f ca="1">DSUM($B$60:$Y$73,J$60,$C$83:$D109)</f>
        <v>9.9426630102608531</v>
      </c>
      <c r="K109" s="45">
        <f ca="1">DSUM($B$60:$Y$73,K$60,$C$83:$D109)</f>
        <v>8.0107042257690217</v>
      </c>
      <c r="L109" s="45">
        <f ca="1">DSUM($B$60:$Y$73,L$60,$C$83:$D109)</f>
        <v>6.4494580402506561</v>
      </c>
      <c r="M109" s="45">
        <f ca="1">DSUM($B$60:$Y$73,M$60,$C$83:$D109)</f>
        <v>5.1905067022441154</v>
      </c>
      <c r="N109" s="45">
        <f ca="1">DSUM($B$60:$Y$73,N$60,$C$83:$D109)</f>
        <v>4.1759425219497341</v>
      </c>
      <c r="O109" s="45">
        <f ca="1">DSUM($B$60:$Y$73,O$60,$C$83:$D109)</f>
        <v>3.359353703671752</v>
      </c>
      <c r="P109" s="45">
        <f ca="1">DSUM($B$60:$Y$73,P$60,$C$83:$D109)</f>
        <v>2.7019710338266063</v>
      </c>
      <c r="Q109" s="45">
        <f ca="1">DSUM($B$60:$Y$73,Q$60,$C$83:$D109)</f>
        <v>2.1727047898177565</v>
      </c>
      <c r="R109" s="45">
        <f ca="1">DSUM($B$60:$Y$73,R$60,$C$83:$D109)</f>
        <v>1.7466379687308491</v>
      </c>
      <c r="S109" s="45">
        <f ca="1">DSUM($B$60:$Y$73,S$60,$C$83:$D109)</f>
        <v>1.4039457677269647</v>
      </c>
      <c r="T109" s="45">
        <f ca="1">DSUM($B$60:$Y$73,T$60,$C$83:$D109)</f>
        <v>1.1284246557762654</v>
      </c>
      <c r="U109" s="45">
        <f ca="1">DSUM($B$60:$Y$73,U$60,$C$83:$D109)</f>
        <v>7.7317599235525144E-3</v>
      </c>
      <c r="V109" s="45">
        <f ca="1">DSUM($B$60:$Y$73,V$60,$C$83:$D109)</f>
        <v>2.7733584992660305E-3</v>
      </c>
      <c r="W109" s="45">
        <f ca="1">DSUM($B$60:$Y$73,W$60,$C$83:$D109)</f>
        <v>9.4953404182574592E-4</v>
      </c>
      <c r="X109" s="45">
        <f ca="1">DSUM($B$60:$Y$73,X$60,$C$83:$D109)</f>
        <v>3.1095475943330395E-4</v>
      </c>
      <c r="Y109" s="32">
        <f ca="1">DSUM($B$60:$Y$73,Y$60,$C$83:$D109)</f>
        <v>108.64035927760769</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2:79">
      <c r="B110" s="7" t="s">
        <v>572</v>
      </c>
      <c r="C110" s="48" t="s">
        <v>573</v>
      </c>
      <c r="D110" s="48" t="s">
        <v>574</v>
      </c>
      <c r="E110" s="45">
        <f ca="1">DSUM($B$60:$Y$73,E$60,$C$83:$D110)</f>
        <v>10.461727763948119</v>
      </c>
      <c r="F110" s="45">
        <f ca="1">DSUM($B$60:$Y$73,F$60,$C$83:$D110)</f>
        <v>10.606772925036143</v>
      </c>
      <c r="G110" s="45">
        <f ca="1">DSUM($B$60:$Y$73,G$60,$C$83:$D110)</f>
        <v>10.737376355034925</v>
      </c>
      <c r="H110" s="45">
        <f ca="1">DSUM($B$60:$Y$73,H$60,$C$83:$D110)</f>
        <v>10.853622943077907</v>
      </c>
      <c r="I110" s="45">
        <f ca="1">DSUM($B$60:$Y$73,I$60,$C$83:$D110)</f>
        <v>10.956952481301784</v>
      </c>
      <c r="J110" s="45">
        <f ca="1">DSUM($B$60:$Y$73,J$60,$C$83:$D110)</f>
        <v>9.9426630102608531</v>
      </c>
      <c r="K110" s="45">
        <f ca="1">DSUM($B$60:$Y$73,K$60,$C$83:$D110)</f>
        <v>8.0107042257690217</v>
      </c>
      <c r="L110" s="45">
        <f ca="1">DSUM($B$60:$Y$73,L$60,$C$83:$D110)</f>
        <v>6.4494580402506561</v>
      </c>
      <c r="M110" s="45">
        <f ca="1">DSUM($B$60:$Y$73,M$60,$C$83:$D110)</f>
        <v>5.1905067022441154</v>
      </c>
      <c r="N110" s="45">
        <f ca="1">DSUM($B$60:$Y$73,N$60,$C$83:$D110)</f>
        <v>4.1759425219497341</v>
      </c>
      <c r="O110" s="45">
        <f ca="1">DSUM($B$60:$Y$73,O$60,$C$83:$D110)</f>
        <v>3.359353703671752</v>
      </c>
      <c r="P110" s="45">
        <f ca="1">DSUM($B$60:$Y$73,P$60,$C$83:$D110)</f>
        <v>2.7019710338266063</v>
      </c>
      <c r="Q110" s="45">
        <f ca="1">DSUM($B$60:$Y$73,Q$60,$C$83:$D110)</f>
        <v>2.1727047898177565</v>
      </c>
      <c r="R110" s="45">
        <f ca="1">DSUM($B$60:$Y$73,R$60,$C$83:$D110)</f>
        <v>1.7466379687308491</v>
      </c>
      <c r="S110" s="45">
        <f ca="1">DSUM($B$60:$Y$73,S$60,$C$83:$D110)</f>
        <v>1.4039457677269647</v>
      </c>
      <c r="T110" s="45">
        <f ca="1">DSUM($B$60:$Y$73,T$60,$C$83:$D110)</f>
        <v>1.1284246557762654</v>
      </c>
      <c r="U110" s="45">
        <f ca="1">DSUM($B$60:$Y$73,U$60,$C$83:$D110)</f>
        <v>7.7317599235525144E-3</v>
      </c>
      <c r="V110" s="45">
        <f ca="1">DSUM($B$60:$Y$73,V$60,$C$83:$D110)</f>
        <v>2.7733584992660305E-3</v>
      </c>
      <c r="W110" s="45">
        <f ca="1">DSUM($B$60:$Y$73,W$60,$C$83:$D110)</f>
        <v>9.4953404182574592E-4</v>
      </c>
      <c r="X110" s="45">
        <f ca="1">DSUM($B$60:$Y$73,X$60,$C$83:$D110)</f>
        <v>3.1095475943330395E-4</v>
      </c>
      <c r="Y110" s="32">
        <f ca="1">DSUM($B$60:$Y$73,Y$60,$C$83:$D110)</f>
        <v>108.64035927760769</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2:79">
      <c r="B111" s="7" t="s">
        <v>575</v>
      </c>
      <c r="C111" s="48" t="s">
        <v>576</v>
      </c>
      <c r="D111" s="48" t="s">
        <v>577</v>
      </c>
      <c r="E111" s="45">
        <f ca="1">DSUM($B$60:$Y$73,E$60,$C$83:$D111)</f>
        <v>10.461727763948119</v>
      </c>
      <c r="F111" s="45">
        <f ca="1">DSUM($B$60:$Y$73,F$60,$C$83:$D111)</f>
        <v>10.606772925036143</v>
      </c>
      <c r="G111" s="45">
        <f ca="1">DSUM($B$60:$Y$73,G$60,$C$83:$D111)</f>
        <v>10.737376355034925</v>
      </c>
      <c r="H111" s="45">
        <f ca="1">DSUM($B$60:$Y$73,H$60,$C$83:$D111)</f>
        <v>10.853622943077907</v>
      </c>
      <c r="I111" s="45">
        <f ca="1">DSUM($B$60:$Y$73,I$60,$C$83:$D111)</f>
        <v>10.956952481301784</v>
      </c>
      <c r="J111" s="45">
        <f ca="1">DSUM($B$60:$Y$73,J$60,$C$83:$D111)</f>
        <v>9.9426630102608531</v>
      </c>
      <c r="K111" s="45">
        <f ca="1">DSUM($B$60:$Y$73,K$60,$C$83:$D111)</f>
        <v>8.0107042257690217</v>
      </c>
      <c r="L111" s="45">
        <f ca="1">DSUM($B$60:$Y$73,L$60,$C$83:$D111)</f>
        <v>6.4494580402506561</v>
      </c>
      <c r="M111" s="45">
        <f ca="1">DSUM($B$60:$Y$73,M$60,$C$83:$D111)</f>
        <v>5.1905067022441154</v>
      </c>
      <c r="N111" s="45">
        <f ca="1">DSUM($B$60:$Y$73,N$60,$C$83:$D111)</f>
        <v>4.1759425219497341</v>
      </c>
      <c r="O111" s="45">
        <f ca="1">DSUM($B$60:$Y$73,O$60,$C$83:$D111)</f>
        <v>3.359353703671752</v>
      </c>
      <c r="P111" s="45">
        <f ca="1">DSUM($B$60:$Y$73,P$60,$C$83:$D111)</f>
        <v>2.7019710338266063</v>
      </c>
      <c r="Q111" s="45">
        <f ca="1">DSUM($B$60:$Y$73,Q$60,$C$83:$D111)</f>
        <v>2.1727047898177565</v>
      </c>
      <c r="R111" s="45">
        <f ca="1">DSUM($B$60:$Y$73,R$60,$C$83:$D111)</f>
        <v>1.7466379687308491</v>
      </c>
      <c r="S111" s="45">
        <f ca="1">DSUM($B$60:$Y$73,S$60,$C$83:$D111)</f>
        <v>1.4039457677269647</v>
      </c>
      <c r="T111" s="45">
        <f ca="1">DSUM($B$60:$Y$73,T$60,$C$83:$D111)</f>
        <v>1.1284246557762654</v>
      </c>
      <c r="U111" s="45">
        <f ca="1">DSUM($B$60:$Y$73,U$60,$C$83:$D111)</f>
        <v>7.7317599235525144E-3</v>
      </c>
      <c r="V111" s="45">
        <f ca="1">DSUM($B$60:$Y$73,V$60,$C$83:$D111)</f>
        <v>2.7733584992660305E-3</v>
      </c>
      <c r="W111" s="45">
        <f ca="1">DSUM($B$60:$Y$73,W$60,$C$83:$D111)</f>
        <v>9.4953404182574592E-4</v>
      </c>
      <c r="X111" s="45">
        <f ca="1">DSUM($B$60:$Y$73,X$60,$C$83:$D111)</f>
        <v>3.1095475943330395E-4</v>
      </c>
      <c r="Y111" s="32">
        <f ca="1">DSUM($B$60:$Y$73,Y$60,$C$83:$D111)</f>
        <v>108.64035927760769</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2:79">
      <c r="B112" s="7" t="s">
        <v>578</v>
      </c>
      <c r="C112" s="48" t="s">
        <v>579</v>
      </c>
      <c r="D112" s="48" t="s">
        <v>580</v>
      </c>
      <c r="E112" s="45">
        <f ca="1">DSUM($B$60:$Y$73,E$60,$C$83:$D112)</f>
        <v>10.461727763948119</v>
      </c>
      <c r="F112" s="45">
        <f ca="1">DSUM($B$60:$Y$73,F$60,$C$83:$D112)</f>
        <v>10.606772925036143</v>
      </c>
      <c r="G112" s="45">
        <f ca="1">DSUM($B$60:$Y$73,G$60,$C$83:$D112)</f>
        <v>10.737376355034925</v>
      </c>
      <c r="H112" s="45">
        <f ca="1">DSUM($B$60:$Y$73,H$60,$C$83:$D112)</f>
        <v>10.853622943077907</v>
      </c>
      <c r="I112" s="45">
        <f ca="1">DSUM($B$60:$Y$73,I$60,$C$83:$D112)</f>
        <v>10.956952481301784</v>
      </c>
      <c r="J112" s="45">
        <f ca="1">DSUM($B$60:$Y$73,J$60,$C$83:$D112)</f>
        <v>9.9426630102608531</v>
      </c>
      <c r="K112" s="45">
        <f ca="1">DSUM($B$60:$Y$73,K$60,$C$83:$D112)</f>
        <v>8.0107042257690217</v>
      </c>
      <c r="L112" s="45">
        <f ca="1">DSUM($B$60:$Y$73,L$60,$C$83:$D112)</f>
        <v>6.4494580402506561</v>
      </c>
      <c r="M112" s="45">
        <f ca="1">DSUM($B$60:$Y$73,M$60,$C$83:$D112)</f>
        <v>5.1905067022441154</v>
      </c>
      <c r="N112" s="45">
        <f ca="1">DSUM($B$60:$Y$73,N$60,$C$83:$D112)</f>
        <v>4.1759425219497341</v>
      </c>
      <c r="O112" s="45">
        <f ca="1">DSUM($B$60:$Y$73,O$60,$C$83:$D112)</f>
        <v>3.359353703671752</v>
      </c>
      <c r="P112" s="45">
        <f ca="1">DSUM($B$60:$Y$73,P$60,$C$83:$D112)</f>
        <v>2.7019710338266063</v>
      </c>
      <c r="Q112" s="45">
        <f ca="1">DSUM($B$60:$Y$73,Q$60,$C$83:$D112)</f>
        <v>2.1727047898177565</v>
      </c>
      <c r="R112" s="45">
        <f ca="1">DSUM($B$60:$Y$73,R$60,$C$83:$D112)</f>
        <v>1.7466379687308491</v>
      </c>
      <c r="S112" s="45">
        <f ca="1">DSUM($B$60:$Y$73,S$60,$C$83:$D112)</f>
        <v>1.4039457677269647</v>
      </c>
      <c r="T112" s="45">
        <f ca="1">DSUM($B$60:$Y$73,T$60,$C$83:$D112)</f>
        <v>1.1284246557762654</v>
      </c>
      <c r="U112" s="45">
        <f ca="1">DSUM($B$60:$Y$73,U$60,$C$83:$D112)</f>
        <v>7.7317599235525144E-3</v>
      </c>
      <c r="V112" s="45">
        <f ca="1">DSUM($B$60:$Y$73,V$60,$C$83:$D112)</f>
        <v>2.7733584992660305E-3</v>
      </c>
      <c r="W112" s="45">
        <f ca="1">DSUM($B$60:$Y$73,W$60,$C$83:$D112)</f>
        <v>9.4953404182574592E-4</v>
      </c>
      <c r="X112" s="45">
        <f ca="1">DSUM($B$60:$Y$73,X$60,$C$83:$D112)</f>
        <v>3.1095475943330395E-4</v>
      </c>
      <c r="Y112" s="32">
        <f ca="1">DSUM($B$60:$Y$73,Y$60,$C$83:$D112)</f>
        <v>108.64035927760769</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1:79">
      <c r="B113" s="7" t="s">
        <v>581</v>
      </c>
      <c r="C113" s="48" t="s">
        <v>582</v>
      </c>
      <c r="D113" s="48" t="s">
        <v>583</v>
      </c>
      <c r="E113" s="45">
        <f ca="1">DSUM($B$60:$Y$73,E$60,$C$83:$D113)</f>
        <v>10.461727763948119</v>
      </c>
      <c r="F113" s="45">
        <f ca="1">DSUM($B$60:$Y$73,F$60,$C$83:$D113)</f>
        <v>10.606772925036143</v>
      </c>
      <c r="G113" s="45">
        <f ca="1">DSUM($B$60:$Y$73,G$60,$C$83:$D113)</f>
        <v>10.737376355034925</v>
      </c>
      <c r="H113" s="45">
        <f ca="1">DSUM($B$60:$Y$73,H$60,$C$83:$D113)</f>
        <v>10.853622943077907</v>
      </c>
      <c r="I113" s="45">
        <f ca="1">DSUM($B$60:$Y$73,I$60,$C$83:$D113)</f>
        <v>10.956952481301784</v>
      </c>
      <c r="J113" s="45">
        <f ca="1">DSUM($B$60:$Y$73,J$60,$C$83:$D113)</f>
        <v>9.9426630102608531</v>
      </c>
      <c r="K113" s="45">
        <f ca="1">DSUM($B$60:$Y$73,K$60,$C$83:$D113)</f>
        <v>8.0107042257690217</v>
      </c>
      <c r="L113" s="45">
        <f ca="1">DSUM($B$60:$Y$73,L$60,$C$83:$D113)</f>
        <v>6.4494580402506561</v>
      </c>
      <c r="M113" s="45">
        <f ca="1">DSUM($B$60:$Y$73,M$60,$C$83:$D113)</f>
        <v>5.1905067022441154</v>
      </c>
      <c r="N113" s="45">
        <f ca="1">DSUM($B$60:$Y$73,N$60,$C$83:$D113)</f>
        <v>4.1759425219497341</v>
      </c>
      <c r="O113" s="45">
        <f ca="1">DSUM($B$60:$Y$73,O$60,$C$83:$D113)</f>
        <v>3.359353703671752</v>
      </c>
      <c r="P113" s="45">
        <f ca="1">DSUM($B$60:$Y$73,P$60,$C$83:$D113)</f>
        <v>2.7019710338266063</v>
      </c>
      <c r="Q113" s="45">
        <f ca="1">DSUM($B$60:$Y$73,Q$60,$C$83:$D113)</f>
        <v>2.1727047898177565</v>
      </c>
      <c r="R113" s="45">
        <f ca="1">DSUM($B$60:$Y$73,R$60,$C$83:$D113)</f>
        <v>1.7466379687308491</v>
      </c>
      <c r="S113" s="45">
        <f ca="1">DSUM($B$60:$Y$73,S$60,$C$83:$D113)</f>
        <v>1.4039457677269647</v>
      </c>
      <c r="T113" s="45">
        <f ca="1">DSUM($B$60:$Y$73,T$60,$C$83:$D113)</f>
        <v>1.1284246557762654</v>
      </c>
      <c r="U113" s="45">
        <f ca="1">DSUM($B$60:$Y$73,U$60,$C$83:$D113)</f>
        <v>7.7317599235525144E-3</v>
      </c>
      <c r="V113" s="45">
        <f ca="1">DSUM($B$60:$Y$73,V$60,$C$83:$D113)</f>
        <v>2.7733584992660305E-3</v>
      </c>
      <c r="W113" s="45">
        <f ca="1">DSUM($B$60:$Y$73,W$60,$C$83:$D113)</f>
        <v>9.4953404182574592E-4</v>
      </c>
      <c r="X113" s="45">
        <f ca="1">DSUM($B$60:$Y$73,X$60,$C$83:$D113)</f>
        <v>3.1095475943330395E-4</v>
      </c>
      <c r="Y113" s="32">
        <f ca="1">DSUM($B$60:$Y$73,Y$60,$C$83:$D113)</f>
        <v>108.64035927760769</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1:79">
      <c r="B114" s="7" t="s">
        <v>584</v>
      </c>
      <c r="C114" s="48" t="s">
        <v>585</v>
      </c>
      <c r="D114" s="48" t="s">
        <v>586</v>
      </c>
      <c r="E114" s="45">
        <f ca="1">DSUM($B$60:$Y$73,E$60,$C$83:$D114)</f>
        <v>10.461727763948119</v>
      </c>
      <c r="F114" s="45">
        <f ca="1">DSUM($B$60:$Y$73,F$60,$C$83:$D114)</f>
        <v>10.606772925036143</v>
      </c>
      <c r="G114" s="45">
        <f ca="1">DSUM($B$60:$Y$73,G$60,$C$83:$D114)</f>
        <v>10.737376355034925</v>
      </c>
      <c r="H114" s="45">
        <f ca="1">DSUM($B$60:$Y$73,H$60,$C$83:$D114)</f>
        <v>10.853622943077907</v>
      </c>
      <c r="I114" s="45">
        <f ca="1">DSUM($B$60:$Y$73,I$60,$C$83:$D114)</f>
        <v>10.956952481301784</v>
      </c>
      <c r="J114" s="45">
        <f ca="1">DSUM($B$60:$Y$73,J$60,$C$83:$D114)</f>
        <v>9.9426630102608531</v>
      </c>
      <c r="K114" s="45">
        <f ca="1">DSUM($B$60:$Y$73,K$60,$C$83:$D114)</f>
        <v>8.0107042257690217</v>
      </c>
      <c r="L114" s="45">
        <f ca="1">DSUM($B$60:$Y$73,L$60,$C$83:$D114)</f>
        <v>6.4494580402506561</v>
      </c>
      <c r="M114" s="45">
        <f ca="1">DSUM($B$60:$Y$73,M$60,$C$83:$D114)</f>
        <v>5.1905067022441154</v>
      </c>
      <c r="N114" s="45">
        <f ca="1">DSUM($B$60:$Y$73,N$60,$C$83:$D114)</f>
        <v>4.1759425219497341</v>
      </c>
      <c r="O114" s="45">
        <f ca="1">DSUM($B$60:$Y$73,O$60,$C$83:$D114)</f>
        <v>3.359353703671752</v>
      </c>
      <c r="P114" s="45">
        <f ca="1">DSUM($B$60:$Y$73,P$60,$C$83:$D114)</f>
        <v>2.7019710338266063</v>
      </c>
      <c r="Q114" s="45">
        <f ca="1">DSUM($B$60:$Y$73,Q$60,$C$83:$D114)</f>
        <v>2.1727047898177565</v>
      </c>
      <c r="R114" s="45">
        <f ca="1">DSUM($B$60:$Y$73,R$60,$C$83:$D114)</f>
        <v>1.7466379687308491</v>
      </c>
      <c r="S114" s="45">
        <f ca="1">DSUM($B$60:$Y$73,S$60,$C$83:$D114)</f>
        <v>1.4039457677269647</v>
      </c>
      <c r="T114" s="45">
        <f ca="1">DSUM($B$60:$Y$73,T$60,$C$83:$D114)</f>
        <v>1.1284246557762654</v>
      </c>
      <c r="U114" s="45">
        <f ca="1">DSUM($B$60:$Y$73,U$60,$C$83:$D114)</f>
        <v>7.7317599235525144E-3</v>
      </c>
      <c r="V114" s="45">
        <f ca="1">DSUM($B$60:$Y$73,V$60,$C$83:$D114)</f>
        <v>2.7733584992660305E-3</v>
      </c>
      <c r="W114" s="45">
        <f ca="1">DSUM($B$60:$Y$73,W$60,$C$83:$D114)</f>
        <v>9.4953404182574592E-4</v>
      </c>
      <c r="X114" s="45">
        <f ca="1">DSUM($B$60:$Y$73,X$60,$C$83:$D114)</f>
        <v>3.1095475943330395E-4</v>
      </c>
      <c r="Y114" s="32">
        <f ca="1">DSUM($B$60:$Y$73,Y$60,$C$83:$D114)</f>
        <v>108.64035927760769</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1:79">
      <c r="B115" s="7" t="s">
        <v>587</v>
      </c>
      <c r="C115" s="48" t="s">
        <v>588</v>
      </c>
      <c r="D115" s="48" t="s">
        <v>142</v>
      </c>
      <c r="E115" s="45">
        <f ca="1">DSUM($B$60:$Y$73,E$60,$C$83:$D115)</f>
        <v>10.461727763948119</v>
      </c>
      <c r="F115" s="45">
        <f ca="1">DSUM($B$60:$Y$73,F$60,$C$83:$D115)</f>
        <v>10.606772925036143</v>
      </c>
      <c r="G115" s="45">
        <f ca="1">DSUM($B$60:$Y$73,G$60,$C$83:$D115)</f>
        <v>10.737376355034925</v>
      </c>
      <c r="H115" s="45">
        <f ca="1">DSUM($B$60:$Y$73,H$60,$C$83:$D115)</f>
        <v>10.853622943077907</v>
      </c>
      <c r="I115" s="45">
        <f ca="1">DSUM($B$60:$Y$73,I$60,$C$83:$D115)</f>
        <v>10.956952481301784</v>
      </c>
      <c r="J115" s="45">
        <f ca="1">DSUM($B$60:$Y$73,J$60,$C$83:$D115)</f>
        <v>9.9426630102608531</v>
      </c>
      <c r="K115" s="45">
        <f ca="1">DSUM($B$60:$Y$73,K$60,$C$83:$D115)</f>
        <v>8.0107042257690217</v>
      </c>
      <c r="L115" s="45">
        <f ca="1">DSUM($B$60:$Y$73,L$60,$C$83:$D115)</f>
        <v>6.4494580402506561</v>
      </c>
      <c r="M115" s="45">
        <f ca="1">DSUM($B$60:$Y$73,M$60,$C$83:$D115)</f>
        <v>5.1905067022441154</v>
      </c>
      <c r="N115" s="45">
        <f ca="1">DSUM($B$60:$Y$73,N$60,$C$83:$D115)</f>
        <v>4.1759425219497341</v>
      </c>
      <c r="O115" s="45">
        <f ca="1">DSUM($B$60:$Y$73,O$60,$C$83:$D115)</f>
        <v>3.359353703671752</v>
      </c>
      <c r="P115" s="45">
        <f ca="1">DSUM($B$60:$Y$73,P$60,$C$83:$D115)</f>
        <v>2.7019710338266063</v>
      </c>
      <c r="Q115" s="45">
        <f ca="1">DSUM($B$60:$Y$73,Q$60,$C$83:$D115)</f>
        <v>2.1727047898177565</v>
      </c>
      <c r="R115" s="45">
        <f ca="1">DSUM($B$60:$Y$73,R$60,$C$83:$D115)</f>
        <v>1.7466379687308491</v>
      </c>
      <c r="S115" s="45">
        <f ca="1">DSUM($B$60:$Y$73,S$60,$C$83:$D115)</f>
        <v>1.4039457677269647</v>
      </c>
      <c r="T115" s="45">
        <f ca="1">DSUM($B$60:$Y$73,T$60,$C$83:$D115)</f>
        <v>1.1284246557762654</v>
      </c>
      <c r="U115" s="45">
        <f ca="1">DSUM($B$60:$Y$73,U$60,$C$83:$D115)</f>
        <v>7.7317599235525144E-3</v>
      </c>
      <c r="V115" s="45">
        <f ca="1">DSUM($B$60:$Y$73,V$60,$C$83:$D115)</f>
        <v>2.7733584992660305E-3</v>
      </c>
      <c r="W115" s="45">
        <f ca="1">DSUM($B$60:$Y$73,W$60,$C$83:$D115)</f>
        <v>9.4953404182574592E-4</v>
      </c>
      <c r="X115" s="45">
        <f ca="1">DSUM($B$60:$Y$73,X$60,$C$83:$D115)</f>
        <v>3.1095475943330395E-4</v>
      </c>
      <c r="Y115" s="32">
        <f ca="1">DSUM($B$60:$Y$73,Y$60,$C$83:$D115)</f>
        <v>108.64035927760769</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1:79">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1:79">
      <c r="E117" s="26">
        <f ca="1">E115</f>
        <v>10.461727763948119</v>
      </c>
      <c r="F117" s="26">
        <f ca="1">F115+E117</f>
        <v>21.068500688984262</v>
      </c>
      <c r="G117" s="26">
        <f t="shared" ref="G117:X117" ca="1" si="36">G115+F117</f>
        <v>31.805877044019187</v>
      </c>
      <c r="H117" s="26">
        <f t="shared" ca="1" si="36"/>
        <v>42.659499987097092</v>
      </c>
      <c r="I117" s="26">
        <f t="shared" ca="1" si="36"/>
        <v>53.616452468398876</v>
      </c>
      <c r="J117" s="26">
        <f t="shared" ca="1" si="36"/>
        <v>63.559115478659727</v>
      </c>
      <c r="K117" s="26">
        <f t="shared" ca="1" si="36"/>
        <v>71.569819704428753</v>
      </c>
      <c r="L117" s="26">
        <f t="shared" ca="1" si="36"/>
        <v>78.019277744679414</v>
      </c>
      <c r="M117" s="26">
        <f t="shared" ca="1" si="36"/>
        <v>83.209784446923535</v>
      </c>
      <c r="N117" s="26">
        <f t="shared" ca="1" si="36"/>
        <v>87.385726968873271</v>
      </c>
      <c r="O117" s="26">
        <f t="shared" ca="1" si="36"/>
        <v>90.745080672545029</v>
      </c>
      <c r="P117" s="26">
        <f t="shared" ca="1" si="36"/>
        <v>93.447051706371639</v>
      </c>
      <c r="Q117" s="26">
        <f t="shared" ca="1" si="36"/>
        <v>95.619756496189396</v>
      </c>
      <c r="R117" s="26">
        <f t="shared" ca="1" si="36"/>
        <v>97.366394464920248</v>
      </c>
      <c r="S117" s="26">
        <f t="shared" ca="1" si="36"/>
        <v>98.770340232647214</v>
      </c>
      <c r="T117" s="26">
        <f t="shared" ca="1" si="36"/>
        <v>99.898764888423486</v>
      </c>
      <c r="U117" s="26">
        <f t="shared" ca="1" si="36"/>
        <v>99.906496648347044</v>
      </c>
      <c r="V117" s="26">
        <f t="shared" ca="1" si="36"/>
        <v>99.909270006846313</v>
      </c>
      <c r="W117" s="26">
        <f t="shared" ca="1" si="36"/>
        <v>99.910219540888136</v>
      </c>
      <c r="X117" s="26">
        <f t="shared" ca="1" si="36"/>
        <v>99.910530495647563</v>
      </c>
      <c r="Y117" s="26"/>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1:79" ht="15">
      <c r="A118" s="53" t="s">
        <v>143</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1:79" ht="15">
      <c r="D119" s="62" t="str">
        <f>C30</f>
        <v>Showerheads - Retro</v>
      </c>
      <c r="E119" s="56">
        <f t="shared" ref="E119:X119" si="37">E11</f>
        <v>2016</v>
      </c>
      <c r="F119" s="57">
        <f t="shared" si="37"/>
        <v>2017</v>
      </c>
      <c r="G119" s="57">
        <f t="shared" si="37"/>
        <v>2018</v>
      </c>
      <c r="H119" s="57">
        <f t="shared" si="37"/>
        <v>2019</v>
      </c>
      <c r="I119" s="57">
        <f t="shared" si="37"/>
        <v>2020</v>
      </c>
      <c r="J119" s="57">
        <f t="shared" si="37"/>
        <v>2021</v>
      </c>
      <c r="K119" s="57">
        <f t="shared" si="37"/>
        <v>2022</v>
      </c>
      <c r="L119" s="57">
        <f t="shared" si="37"/>
        <v>2023</v>
      </c>
      <c r="M119" s="57">
        <f t="shared" si="37"/>
        <v>2024</v>
      </c>
      <c r="N119" s="57">
        <f t="shared" si="37"/>
        <v>2025</v>
      </c>
      <c r="O119" s="57">
        <f t="shared" si="37"/>
        <v>2026</v>
      </c>
      <c r="P119" s="57">
        <f t="shared" si="37"/>
        <v>2027</v>
      </c>
      <c r="Q119" s="57">
        <f t="shared" si="37"/>
        <v>2028</v>
      </c>
      <c r="R119" s="57">
        <f t="shared" si="37"/>
        <v>2029</v>
      </c>
      <c r="S119" s="57">
        <f t="shared" si="37"/>
        <v>2030</v>
      </c>
      <c r="T119" s="57">
        <f t="shared" si="37"/>
        <v>2031</v>
      </c>
      <c r="U119" s="57">
        <f t="shared" si="37"/>
        <v>2032</v>
      </c>
      <c r="V119" s="57">
        <f t="shared" si="37"/>
        <v>2033</v>
      </c>
      <c r="W119" s="57">
        <f t="shared" si="37"/>
        <v>2034</v>
      </c>
      <c r="X119" s="57">
        <f t="shared" si="37"/>
        <v>2035</v>
      </c>
      <c r="Y119" s="58" t="s">
        <v>68</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1:79" ht="15">
      <c r="E120" s="59" t="str">
        <f>CONCATENATE("aMW_",E$11)</f>
        <v>aMW_2016</v>
      </c>
      <c r="F120" s="60" t="str">
        <f t="shared" ref="F120:X120" si="38">CONCATENATE("aMW_",F$11)</f>
        <v>aMW_2017</v>
      </c>
      <c r="G120" s="60" t="str">
        <f t="shared" si="38"/>
        <v>aMW_2018</v>
      </c>
      <c r="H120" s="60" t="str">
        <f t="shared" si="38"/>
        <v>aMW_2019</v>
      </c>
      <c r="I120" s="60" t="str">
        <f t="shared" si="38"/>
        <v>aMW_2020</v>
      </c>
      <c r="J120" s="60" t="str">
        <f t="shared" si="38"/>
        <v>aMW_2021</v>
      </c>
      <c r="K120" s="60" t="str">
        <f t="shared" si="38"/>
        <v>aMW_2022</v>
      </c>
      <c r="L120" s="60" t="str">
        <f t="shared" si="38"/>
        <v>aMW_2023</v>
      </c>
      <c r="M120" s="60" t="str">
        <f t="shared" si="38"/>
        <v>aMW_2024</v>
      </c>
      <c r="N120" s="60" t="str">
        <f t="shared" si="38"/>
        <v>aMW_2025</v>
      </c>
      <c r="O120" s="60" t="str">
        <f t="shared" si="38"/>
        <v>aMW_2026</v>
      </c>
      <c r="P120" s="60" t="str">
        <f t="shared" si="38"/>
        <v>aMW_2027</v>
      </c>
      <c r="Q120" s="60" t="str">
        <f t="shared" si="38"/>
        <v>aMW_2028</v>
      </c>
      <c r="R120" s="60" t="str">
        <f t="shared" si="38"/>
        <v>aMW_2029</v>
      </c>
      <c r="S120" s="60" t="str">
        <f t="shared" si="38"/>
        <v>aMW_2030</v>
      </c>
      <c r="T120" s="60" t="str">
        <f t="shared" si="38"/>
        <v>aMW_2031</v>
      </c>
      <c r="U120" s="60" t="str">
        <f t="shared" si="38"/>
        <v>aMW_2032</v>
      </c>
      <c r="V120" s="60" t="str">
        <f t="shared" si="38"/>
        <v>aMW_2033</v>
      </c>
      <c r="W120" s="60" t="str">
        <f t="shared" si="38"/>
        <v>aMW_2034</v>
      </c>
      <c r="X120" s="60" t="str">
        <f t="shared" si="38"/>
        <v>aMW_2035</v>
      </c>
      <c r="Y120" s="61" t="s">
        <v>68</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1:79">
      <c r="D121" s="7" t="s">
        <v>77</v>
      </c>
      <c r="E121" s="49">
        <f ca="1">E84</f>
        <v>10.461727763948119</v>
      </c>
      <c r="F121" s="49">
        <f t="shared" ref="F121:Y121" ca="1" si="39">F84</f>
        <v>10.606772925036143</v>
      </c>
      <c r="G121" s="49">
        <f t="shared" ca="1" si="39"/>
        <v>10.737376355034925</v>
      </c>
      <c r="H121" s="49">
        <f t="shared" ca="1" si="39"/>
        <v>10.853622943077907</v>
      </c>
      <c r="I121" s="49">
        <f t="shared" ca="1" si="39"/>
        <v>10.956952481301784</v>
      </c>
      <c r="J121" s="49">
        <f t="shared" ca="1" si="39"/>
        <v>9.9426630102608531</v>
      </c>
      <c r="K121" s="49">
        <f t="shared" ca="1" si="39"/>
        <v>8.0107042257690217</v>
      </c>
      <c r="L121" s="49">
        <f t="shared" ca="1" si="39"/>
        <v>6.4494580402506561</v>
      </c>
      <c r="M121" s="49">
        <f t="shared" ca="1" si="39"/>
        <v>5.1905067022441154</v>
      </c>
      <c r="N121" s="49">
        <f t="shared" ca="1" si="39"/>
        <v>4.1759425219497341</v>
      </c>
      <c r="O121" s="49">
        <f t="shared" ca="1" si="39"/>
        <v>3.359353703671752</v>
      </c>
      <c r="P121" s="49">
        <f t="shared" ca="1" si="39"/>
        <v>2.7019710338266063</v>
      </c>
      <c r="Q121" s="49">
        <f t="shared" ca="1" si="39"/>
        <v>2.1727047898177565</v>
      </c>
      <c r="R121" s="49">
        <f t="shared" ca="1" si="39"/>
        <v>1.7466379687308491</v>
      </c>
      <c r="S121" s="49">
        <f t="shared" ca="1" si="39"/>
        <v>1.4039457677269647</v>
      </c>
      <c r="T121" s="49">
        <f t="shared" ca="1" si="39"/>
        <v>1.1284246557762654</v>
      </c>
      <c r="U121" s="49">
        <f t="shared" ca="1" si="39"/>
        <v>7.7317599235525144E-3</v>
      </c>
      <c r="V121" s="49">
        <f t="shared" ca="1" si="39"/>
        <v>2.7733584992660305E-3</v>
      </c>
      <c r="W121" s="49">
        <f t="shared" ca="1" si="39"/>
        <v>9.4953404182574592E-4</v>
      </c>
      <c r="X121" s="49">
        <f t="shared" ca="1" si="39"/>
        <v>3.1095475943330395E-4</v>
      </c>
      <c r="Y121" s="49">
        <f t="shared" ca="1" si="39"/>
        <v>108.64035927760769</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1:79">
      <c r="D122" s="7" t="s">
        <v>595</v>
      </c>
      <c r="E122" s="49">
        <f ca="1">E85-E84</f>
        <v>0</v>
      </c>
      <c r="F122" s="49">
        <f ca="1">F85-F84</f>
        <v>0</v>
      </c>
      <c r="G122" s="49">
        <f t="shared" ref="G122:X122" ca="1" si="40">G85-G84</f>
        <v>0</v>
      </c>
      <c r="H122" s="49">
        <f t="shared" ca="1" si="40"/>
        <v>0</v>
      </c>
      <c r="I122" s="49">
        <f t="shared" ca="1" si="40"/>
        <v>0</v>
      </c>
      <c r="J122" s="49">
        <f t="shared" ca="1" si="40"/>
        <v>0</v>
      </c>
      <c r="K122" s="49">
        <f t="shared" ca="1" si="40"/>
        <v>0</v>
      </c>
      <c r="L122" s="49">
        <f t="shared" ca="1" si="40"/>
        <v>0</v>
      </c>
      <c r="M122" s="49">
        <f t="shared" ca="1" si="40"/>
        <v>0</v>
      </c>
      <c r="N122" s="49">
        <f ca="1">N85-N84</f>
        <v>0</v>
      </c>
      <c r="O122" s="49">
        <f t="shared" ca="1" si="40"/>
        <v>0</v>
      </c>
      <c r="P122" s="49">
        <f t="shared" ca="1" si="40"/>
        <v>0</v>
      </c>
      <c r="Q122" s="49">
        <f t="shared" ca="1" si="40"/>
        <v>0</v>
      </c>
      <c r="R122" s="49">
        <f t="shared" ca="1" si="40"/>
        <v>0</v>
      </c>
      <c r="S122" s="49">
        <f t="shared" ca="1" si="40"/>
        <v>0</v>
      </c>
      <c r="T122" s="49">
        <f t="shared" ca="1" si="40"/>
        <v>0</v>
      </c>
      <c r="U122" s="49">
        <f t="shared" ca="1" si="40"/>
        <v>0</v>
      </c>
      <c r="V122" s="49">
        <f t="shared" ca="1" si="40"/>
        <v>0</v>
      </c>
      <c r="W122" s="49">
        <f t="shared" ca="1" si="40"/>
        <v>0</v>
      </c>
      <c r="X122" s="49">
        <f t="shared" ca="1" si="40"/>
        <v>0</v>
      </c>
      <c r="Y122" s="49">
        <f ca="1">Y85-Y84</f>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1:79">
      <c r="D123" s="7" t="s">
        <v>83</v>
      </c>
      <c r="E123" s="49">
        <f t="shared" ref="E123:Y123" ca="1" si="41">E86-E85</f>
        <v>0</v>
      </c>
      <c r="F123" s="49">
        <f t="shared" ca="1" si="41"/>
        <v>0</v>
      </c>
      <c r="G123" s="49">
        <f t="shared" ca="1" si="41"/>
        <v>0</v>
      </c>
      <c r="H123" s="49">
        <f t="shared" ca="1" si="41"/>
        <v>0</v>
      </c>
      <c r="I123" s="49">
        <f t="shared" ca="1" si="41"/>
        <v>0</v>
      </c>
      <c r="J123" s="49">
        <f t="shared" ca="1" si="41"/>
        <v>0</v>
      </c>
      <c r="K123" s="49">
        <f t="shared" ca="1" si="41"/>
        <v>0</v>
      </c>
      <c r="L123" s="49">
        <f t="shared" ca="1" si="41"/>
        <v>0</v>
      </c>
      <c r="M123" s="49">
        <f t="shared" ca="1" si="41"/>
        <v>0</v>
      </c>
      <c r="N123" s="49">
        <f t="shared" ca="1" si="41"/>
        <v>0</v>
      </c>
      <c r="O123" s="49">
        <f t="shared" ca="1" si="41"/>
        <v>0</v>
      </c>
      <c r="P123" s="49">
        <f t="shared" ca="1" si="41"/>
        <v>0</v>
      </c>
      <c r="Q123" s="49">
        <f t="shared" ca="1" si="41"/>
        <v>0</v>
      </c>
      <c r="R123" s="49">
        <f t="shared" ca="1" si="41"/>
        <v>0</v>
      </c>
      <c r="S123" s="49">
        <f t="shared" ca="1" si="41"/>
        <v>0</v>
      </c>
      <c r="T123" s="49">
        <f t="shared" ca="1" si="41"/>
        <v>0</v>
      </c>
      <c r="U123" s="49">
        <f t="shared" ca="1" si="41"/>
        <v>0</v>
      </c>
      <c r="V123" s="49">
        <f t="shared" ca="1" si="41"/>
        <v>0</v>
      </c>
      <c r="W123" s="49">
        <f t="shared" ca="1" si="41"/>
        <v>0</v>
      </c>
      <c r="X123" s="49">
        <f t="shared" ca="1" si="41"/>
        <v>0</v>
      </c>
      <c r="Y123" s="49">
        <f t="shared" ca="1" si="41"/>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1:79">
      <c r="D124" s="7" t="s">
        <v>86</v>
      </c>
      <c r="E124" s="49">
        <f t="shared" ref="E124:Y124" ca="1" si="42">E87-E86</f>
        <v>0</v>
      </c>
      <c r="F124" s="49">
        <f t="shared" ca="1" si="42"/>
        <v>0</v>
      </c>
      <c r="G124" s="49">
        <f t="shared" ca="1" si="42"/>
        <v>0</v>
      </c>
      <c r="H124" s="49">
        <f t="shared" ca="1" si="42"/>
        <v>0</v>
      </c>
      <c r="I124" s="49">
        <f t="shared" ca="1" si="42"/>
        <v>0</v>
      </c>
      <c r="J124" s="49">
        <f t="shared" ca="1" si="42"/>
        <v>0</v>
      </c>
      <c r="K124" s="49">
        <f t="shared" ca="1" si="42"/>
        <v>0</v>
      </c>
      <c r="L124" s="49">
        <f t="shared" ca="1" si="42"/>
        <v>0</v>
      </c>
      <c r="M124" s="49">
        <f t="shared" ca="1" si="42"/>
        <v>0</v>
      </c>
      <c r="N124" s="49">
        <f t="shared" ca="1" si="42"/>
        <v>0</v>
      </c>
      <c r="O124" s="49">
        <f t="shared" ca="1" si="42"/>
        <v>0</v>
      </c>
      <c r="P124" s="49">
        <f t="shared" ca="1" si="42"/>
        <v>0</v>
      </c>
      <c r="Q124" s="49">
        <f t="shared" ca="1" si="42"/>
        <v>0</v>
      </c>
      <c r="R124" s="49">
        <f t="shared" ca="1" si="42"/>
        <v>0</v>
      </c>
      <c r="S124" s="49">
        <f t="shared" ca="1" si="42"/>
        <v>0</v>
      </c>
      <c r="T124" s="49">
        <f t="shared" ca="1" si="42"/>
        <v>0</v>
      </c>
      <c r="U124" s="49">
        <f t="shared" ca="1" si="42"/>
        <v>0</v>
      </c>
      <c r="V124" s="49">
        <f t="shared" ca="1" si="42"/>
        <v>0</v>
      </c>
      <c r="W124" s="49">
        <f t="shared" ca="1" si="42"/>
        <v>0</v>
      </c>
      <c r="X124" s="49">
        <f t="shared" ca="1" si="42"/>
        <v>0</v>
      </c>
      <c r="Y124" s="49">
        <f t="shared" ca="1" si="42"/>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1:79">
      <c r="D125" s="7" t="s">
        <v>89</v>
      </c>
      <c r="E125" s="49">
        <f t="shared" ref="E125:Y125" ca="1" si="43">E88-E87</f>
        <v>0</v>
      </c>
      <c r="F125" s="49">
        <f t="shared" ca="1" si="43"/>
        <v>0</v>
      </c>
      <c r="G125" s="49">
        <f t="shared" ca="1" si="43"/>
        <v>0</v>
      </c>
      <c r="H125" s="49">
        <f t="shared" ca="1" si="43"/>
        <v>0</v>
      </c>
      <c r="I125" s="49">
        <f t="shared" ca="1" si="43"/>
        <v>0</v>
      </c>
      <c r="J125" s="49">
        <f t="shared" ca="1" si="43"/>
        <v>0</v>
      </c>
      <c r="K125" s="49">
        <f t="shared" ca="1" si="43"/>
        <v>0</v>
      </c>
      <c r="L125" s="49">
        <f t="shared" ca="1" si="43"/>
        <v>0</v>
      </c>
      <c r="M125" s="49">
        <f t="shared" ca="1" si="43"/>
        <v>0</v>
      </c>
      <c r="N125" s="49">
        <f t="shared" ca="1" si="43"/>
        <v>0</v>
      </c>
      <c r="O125" s="49">
        <f t="shared" ca="1" si="43"/>
        <v>0</v>
      </c>
      <c r="P125" s="49">
        <f t="shared" ca="1" si="43"/>
        <v>0</v>
      </c>
      <c r="Q125" s="49">
        <f t="shared" ca="1" si="43"/>
        <v>0</v>
      </c>
      <c r="R125" s="49">
        <f t="shared" ca="1" si="43"/>
        <v>0</v>
      </c>
      <c r="S125" s="49">
        <f t="shared" ca="1" si="43"/>
        <v>0</v>
      </c>
      <c r="T125" s="49">
        <f t="shared" ca="1" si="43"/>
        <v>0</v>
      </c>
      <c r="U125" s="49">
        <f t="shared" ca="1" si="43"/>
        <v>0</v>
      </c>
      <c r="V125" s="49">
        <f t="shared" ca="1" si="43"/>
        <v>0</v>
      </c>
      <c r="W125" s="49">
        <f t="shared" ca="1" si="43"/>
        <v>0</v>
      </c>
      <c r="X125" s="49">
        <f t="shared" ca="1" si="43"/>
        <v>0</v>
      </c>
      <c r="Y125" s="49">
        <f t="shared" ca="1" si="43"/>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1:79">
      <c r="D126" s="7" t="s">
        <v>92</v>
      </c>
      <c r="E126" s="49">
        <f t="shared" ref="E126:Y126" ca="1" si="44">E89-E88</f>
        <v>0</v>
      </c>
      <c r="F126" s="49">
        <f t="shared" ca="1" si="44"/>
        <v>0</v>
      </c>
      <c r="G126" s="49">
        <f t="shared" ca="1" si="44"/>
        <v>0</v>
      </c>
      <c r="H126" s="49">
        <f t="shared" ca="1" si="44"/>
        <v>0</v>
      </c>
      <c r="I126" s="49">
        <f t="shared" ca="1" si="44"/>
        <v>0</v>
      </c>
      <c r="J126" s="49">
        <f t="shared" ca="1" si="44"/>
        <v>0</v>
      </c>
      <c r="K126" s="49">
        <f t="shared" ca="1" si="44"/>
        <v>0</v>
      </c>
      <c r="L126" s="49">
        <f t="shared" ca="1" si="44"/>
        <v>0</v>
      </c>
      <c r="M126" s="49">
        <f t="shared" ca="1" si="44"/>
        <v>0</v>
      </c>
      <c r="N126" s="49">
        <f t="shared" ca="1" si="44"/>
        <v>0</v>
      </c>
      <c r="O126" s="49">
        <f t="shared" ca="1" si="44"/>
        <v>0</v>
      </c>
      <c r="P126" s="49">
        <f t="shared" ca="1" si="44"/>
        <v>0</v>
      </c>
      <c r="Q126" s="49">
        <f t="shared" ca="1" si="44"/>
        <v>0</v>
      </c>
      <c r="R126" s="49">
        <f t="shared" ca="1" si="44"/>
        <v>0</v>
      </c>
      <c r="S126" s="49">
        <f t="shared" ca="1" si="44"/>
        <v>0</v>
      </c>
      <c r="T126" s="49">
        <f t="shared" ca="1" si="44"/>
        <v>0</v>
      </c>
      <c r="U126" s="49">
        <f t="shared" ca="1" si="44"/>
        <v>0</v>
      </c>
      <c r="V126" s="49">
        <f t="shared" ca="1" si="44"/>
        <v>0</v>
      </c>
      <c r="W126" s="49">
        <f t="shared" ca="1" si="44"/>
        <v>0</v>
      </c>
      <c r="X126" s="49">
        <f t="shared" ca="1" si="44"/>
        <v>0</v>
      </c>
      <c r="Y126" s="49">
        <f t="shared" ca="1" si="44"/>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1:79">
      <c r="D127" s="7" t="s">
        <v>95</v>
      </c>
      <c r="E127" s="49">
        <f t="shared" ref="E127:Y127" ca="1" si="45">E90-E89</f>
        <v>0</v>
      </c>
      <c r="F127" s="49">
        <f t="shared" ca="1" si="45"/>
        <v>0</v>
      </c>
      <c r="G127" s="49">
        <f t="shared" ca="1" si="45"/>
        <v>0</v>
      </c>
      <c r="H127" s="49">
        <f t="shared" ca="1" si="45"/>
        <v>0</v>
      </c>
      <c r="I127" s="49">
        <f t="shared" ca="1" si="45"/>
        <v>0</v>
      </c>
      <c r="J127" s="49">
        <f t="shared" ca="1" si="45"/>
        <v>0</v>
      </c>
      <c r="K127" s="49">
        <f t="shared" ca="1" si="45"/>
        <v>0</v>
      </c>
      <c r="L127" s="49">
        <f t="shared" ca="1" si="45"/>
        <v>0</v>
      </c>
      <c r="M127" s="49">
        <f t="shared" ca="1" si="45"/>
        <v>0</v>
      </c>
      <c r="N127" s="49">
        <f t="shared" ca="1" si="45"/>
        <v>0</v>
      </c>
      <c r="O127" s="49">
        <f t="shared" ca="1" si="45"/>
        <v>0</v>
      </c>
      <c r="P127" s="49">
        <f t="shared" ca="1" si="45"/>
        <v>0</v>
      </c>
      <c r="Q127" s="49">
        <f t="shared" ca="1" si="45"/>
        <v>0</v>
      </c>
      <c r="R127" s="49">
        <f t="shared" ca="1" si="45"/>
        <v>0</v>
      </c>
      <c r="S127" s="49">
        <f t="shared" ca="1" si="45"/>
        <v>0</v>
      </c>
      <c r="T127" s="49">
        <f t="shared" ca="1" si="45"/>
        <v>0</v>
      </c>
      <c r="U127" s="49">
        <f t="shared" ca="1" si="45"/>
        <v>0</v>
      </c>
      <c r="V127" s="49">
        <f t="shared" ca="1" si="45"/>
        <v>0</v>
      </c>
      <c r="W127" s="49">
        <f t="shared" ca="1" si="45"/>
        <v>0</v>
      </c>
      <c r="X127" s="49">
        <f t="shared" ca="1" si="45"/>
        <v>0</v>
      </c>
      <c r="Y127" s="49">
        <f t="shared" ca="1" si="45"/>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1:79">
      <c r="D128" s="7" t="s">
        <v>98</v>
      </c>
      <c r="E128" s="49">
        <f t="shared" ref="E128:Y128" ca="1" si="46">E91-E90</f>
        <v>0</v>
      </c>
      <c r="F128" s="49">
        <f t="shared" ca="1" si="46"/>
        <v>0</v>
      </c>
      <c r="G128" s="49">
        <f t="shared" ca="1" si="46"/>
        <v>0</v>
      </c>
      <c r="H128" s="49">
        <f t="shared" ca="1" si="46"/>
        <v>0</v>
      </c>
      <c r="I128" s="49">
        <f t="shared" ca="1" si="46"/>
        <v>0</v>
      </c>
      <c r="J128" s="49">
        <f t="shared" ca="1" si="46"/>
        <v>0</v>
      </c>
      <c r="K128" s="49">
        <f t="shared" ca="1" si="46"/>
        <v>0</v>
      </c>
      <c r="L128" s="49">
        <f t="shared" ca="1" si="46"/>
        <v>0</v>
      </c>
      <c r="M128" s="49">
        <f t="shared" ca="1" si="46"/>
        <v>0</v>
      </c>
      <c r="N128" s="49">
        <f t="shared" ca="1" si="46"/>
        <v>0</v>
      </c>
      <c r="O128" s="49">
        <f t="shared" ca="1" si="46"/>
        <v>0</v>
      </c>
      <c r="P128" s="49">
        <f t="shared" ca="1" si="46"/>
        <v>0</v>
      </c>
      <c r="Q128" s="49">
        <f t="shared" ca="1" si="46"/>
        <v>0</v>
      </c>
      <c r="R128" s="49">
        <f t="shared" ca="1" si="46"/>
        <v>0</v>
      </c>
      <c r="S128" s="49">
        <f t="shared" ca="1" si="46"/>
        <v>0</v>
      </c>
      <c r="T128" s="49">
        <f t="shared" ca="1" si="46"/>
        <v>0</v>
      </c>
      <c r="U128" s="49">
        <f t="shared" ca="1" si="46"/>
        <v>0</v>
      </c>
      <c r="V128" s="49">
        <f t="shared" ca="1" si="46"/>
        <v>0</v>
      </c>
      <c r="W128" s="49">
        <f t="shared" ca="1" si="46"/>
        <v>0</v>
      </c>
      <c r="X128" s="49">
        <f t="shared" ca="1" si="46"/>
        <v>0</v>
      </c>
      <c r="Y128" s="49">
        <f t="shared" ca="1" si="46"/>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7" t="s">
        <v>101</v>
      </c>
      <c r="E129" s="49">
        <f t="shared" ref="E129:Y129" ca="1" si="47">E92-E91</f>
        <v>0</v>
      </c>
      <c r="F129" s="49">
        <f t="shared" ca="1" si="47"/>
        <v>0</v>
      </c>
      <c r="G129" s="49">
        <f t="shared" ca="1" si="47"/>
        <v>0</v>
      </c>
      <c r="H129" s="49">
        <f t="shared" ca="1" si="47"/>
        <v>0</v>
      </c>
      <c r="I129" s="49">
        <f t="shared" ca="1" si="47"/>
        <v>0</v>
      </c>
      <c r="J129" s="49">
        <f t="shared" ca="1" si="47"/>
        <v>0</v>
      </c>
      <c r="K129" s="49">
        <f t="shared" ca="1" si="47"/>
        <v>0</v>
      </c>
      <c r="L129" s="49">
        <f t="shared" ca="1" si="47"/>
        <v>0</v>
      </c>
      <c r="M129" s="49">
        <f t="shared" ca="1" si="47"/>
        <v>0</v>
      </c>
      <c r="N129" s="49">
        <f t="shared" ca="1" si="47"/>
        <v>0</v>
      </c>
      <c r="O129" s="49">
        <f t="shared" ca="1" si="47"/>
        <v>0</v>
      </c>
      <c r="P129" s="49">
        <f t="shared" ca="1" si="47"/>
        <v>0</v>
      </c>
      <c r="Q129" s="49">
        <f t="shared" ca="1" si="47"/>
        <v>0</v>
      </c>
      <c r="R129" s="49">
        <f t="shared" ca="1" si="47"/>
        <v>0</v>
      </c>
      <c r="S129" s="49">
        <f t="shared" ca="1" si="47"/>
        <v>0</v>
      </c>
      <c r="T129" s="49">
        <f t="shared" ca="1" si="47"/>
        <v>0</v>
      </c>
      <c r="U129" s="49">
        <f t="shared" ca="1" si="47"/>
        <v>0</v>
      </c>
      <c r="V129" s="49">
        <f t="shared" ca="1" si="47"/>
        <v>0</v>
      </c>
      <c r="W129" s="49">
        <f t="shared" ca="1" si="47"/>
        <v>0</v>
      </c>
      <c r="X129" s="49">
        <f t="shared" ca="1" si="47"/>
        <v>0</v>
      </c>
      <c r="Y129" s="49">
        <f t="shared" ca="1" si="47"/>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7" t="s">
        <v>104</v>
      </c>
      <c r="E130" s="49">
        <f t="shared" ref="E130:Y130" ca="1" si="48">E93-E92</f>
        <v>0</v>
      </c>
      <c r="F130" s="49">
        <f t="shared" ca="1" si="48"/>
        <v>0</v>
      </c>
      <c r="G130" s="49">
        <f t="shared" ca="1" si="48"/>
        <v>0</v>
      </c>
      <c r="H130" s="49">
        <f t="shared" ca="1" si="48"/>
        <v>0</v>
      </c>
      <c r="I130" s="49">
        <f t="shared" ca="1" si="48"/>
        <v>0</v>
      </c>
      <c r="J130" s="49">
        <f t="shared" ca="1" si="48"/>
        <v>0</v>
      </c>
      <c r="K130" s="49">
        <f t="shared" ca="1" si="48"/>
        <v>0</v>
      </c>
      <c r="L130" s="49">
        <f t="shared" ca="1" si="48"/>
        <v>0</v>
      </c>
      <c r="M130" s="49">
        <f t="shared" ca="1" si="48"/>
        <v>0</v>
      </c>
      <c r="N130" s="49">
        <f t="shared" ca="1" si="48"/>
        <v>0</v>
      </c>
      <c r="O130" s="49">
        <f t="shared" ca="1" si="48"/>
        <v>0</v>
      </c>
      <c r="P130" s="49">
        <f t="shared" ca="1" si="48"/>
        <v>0</v>
      </c>
      <c r="Q130" s="49">
        <f t="shared" ca="1" si="48"/>
        <v>0</v>
      </c>
      <c r="R130" s="49">
        <f t="shared" ca="1" si="48"/>
        <v>0</v>
      </c>
      <c r="S130" s="49">
        <f t="shared" ca="1" si="48"/>
        <v>0</v>
      </c>
      <c r="T130" s="49">
        <f t="shared" ca="1" si="48"/>
        <v>0</v>
      </c>
      <c r="U130" s="49">
        <f t="shared" ca="1" si="48"/>
        <v>0</v>
      </c>
      <c r="V130" s="49">
        <f t="shared" ca="1" si="48"/>
        <v>0</v>
      </c>
      <c r="W130" s="49">
        <f t="shared" ca="1" si="48"/>
        <v>0</v>
      </c>
      <c r="X130" s="49">
        <f t="shared" ca="1" si="48"/>
        <v>0</v>
      </c>
      <c r="Y130" s="49">
        <f t="shared" ca="1" si="48"/>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7" t="s">
        <v>107</v>
      </c>
      <c r="E131" s="49">
        <f t="shared" ref="E131:Y131" ca="1" si="49">E94-E93</f>
        <v>0</v>
      </c>
      <c r="F131" s="49">
        <f t="shared" ca="1" si="49"/>
        <v>0</v>
      </c>
      <c r="G131" s="49">
        <f t="shared" ca="1" si="49"/>
        <v>0</v>
      </c>
      <c r="H131" s="49">
        <f t="shared" ca="1" si="49"/>
        <v>0</v>
      </c>
      <c r="I131" s="49">
        <f t="shared" ca="1" si="49"/>
        <v>0</v>
      </c>
      <c r="J131" s="49">
        <f t="shared" ca="1" si="49"/>
        <v>0</v>
      </c>
      <c r="K131" s="49">
        <f t="shared" ca="1" si="49"/>
        <v>0</v>
      </c>
      <c r="L131" s="49">
        <f t="shared" ca="1" si="49"/>
        <v>0</v>
      </c>
      <c r="M131" s="49">
        <f t="shared" ca="1" si="49"/>
        <v>0</v>
      </c>
      <c r="N131" s="49">
        <f t="shared" ca="1" si="49"/>
        <v>0</v>
      </c>
      <c r="O131" s="49">
        <f t="shared" ca="1" si="49"/>
        <v>0</v>
      </c>
      <c r="P131" s="49">
        <f t="shared" ca="1" si="49"/>
        <v>0</v>
      </c>
      <c r="Q131" s="49">
        <f t="shared" ca="1" si="49"/>
        <v>0</v>
      </c>
      <c r="R131" s="49">
        <f t="shared" ca="1" si="49"/>
        <v>0</v>
      </c>
      <c r="S131" s="49">
        <f t="shared" ca="1" si="49"/>
        <v>0</v>
      </c>
      <c r="T131" s="49">
        <f t="shared" ca="1" si="49"/>
        <v>0</v>
      </c>
      <c r="U131" s="49">
        <f t="shared" ca="1" si="49"/>
        <v>0</v>
      </c>
      <c r="V131" s="49">
        <f t="shared" ca="1" si="49"/>
        <v>0</v>
      </c>
      <c r="W131" s="49">
        <f t="shared" ca="1" si="49"/>
        <v>0</v>
      </c>
      <c r="X131" s="49">
        <f t="shared" ca="1" si="49"/>
        <v>0</v>
      </c>
      <c r="Y131" s="49">
        <f t="shared" ca="1" si="49"/>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7" t="s">
        <v>110</v>
      </c>
      <c r="E132" s="49">
        <f t="shared" ref="E132:Y132" ca="1" si="50">E95-E94</f>
        <v>0</v>
      </c>
      <c r="F132" s="49">
        <f t="shared" ca="1" si="50"/>
        <v>0</v>
      </c>
      <c r="G132" s="49">
        <f t="shared" ca="1" si="50"/>
        <v>0</v>
      </c>
      <c r="H132" s="49">
        <f t="shared" ca="1" si="50"/>
        <v>0</v>
      </c>
      <c r="I132" s="49">
        <f t="shared" ca="1" si="50"/>
        <v>0</v>
      </c>
      <c r="J132" s="49">
        <f t="shared" ca="1" si="50"/>
        <v>0</v>
      </c>
      <c r="K132" s="49">
        <f t="shared" ca="1" si="50"/>
        <v>0</v>
      </c>
      <c r="L132" s="49">
        <f t="shared" ca="1" si="50"/>
        <v>0</v>
      </c>
      <c r="M132" s="49">
        <f t="shared" ca="1" si="50"/>
        <v>0</v>
      </c>
      <c r="N132" s="49">
        <f t="shared" ca="1" si="50"/>
        <v>0</v>
      </c>
      <c r="O132" s="49">
        <f t="shared" ca="1" si="50"/>
        <v>0</v>
      </c>
      <c r="P132" s="49">
        <f t="shared" ca="1" si="50"/>
        <v>0</v>
      </c>
      <c r="Q132" s="49">
        <f t="shared" ca="1" si="50"/>
        <v>0</v>
      </c>
      <c r="R132" s="49">
        <f t="shared" ca="1" si="50"/>
        <v>0</v>
      </c>
      <c r="S132" s="49">
        <f t="shared" ca="1" si="50"/>
        <v>0</v>
      </c>
      <c r="T132" s="49">
        <f t="shared" ca="1" si="50"/>
        <v>0</v>
      </c>
      <c r="U132" s="49">
        <f t="shared" ca="1" si="50"/>
        <v>0</v>
      </c>
      <c r="V132" s="49">
        <f t="shared" ca="1" si="50"/>
        <v>0</v>
      </c>
      <c r="W132" s="49">
        <f t="shared" ca="1" si="50"/>
        <v>0</v>
      </c>
      <c r="X132" s="49">
        <f t="shared" ca="1" si="50"/>
        <v>0</v>
      </c>
      <c r="Y132" s="49">
        <f t="shared" ca="1" si="50"/>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7" t="s">
        <v>113</v>
      </c>
      <c r="E133" s="49">
        <f t="shared" ref="E133:Y133" ca="1" si="51">E96-E95</f>
        <v>0</v>
      </c>
      <c r="F133" s="49">
        <f t="shared" ca="1" si="51"/>
        <v>0</v>
      </c>
      <c r="G133" s="49">
        <f t="shared" ca="1" si="51"/>
        <v>0</v>
      </c>
      <c r="H133" s="49">
        <f t="shared" ca="1" si="51"/>
        <v>0</v>
      </c>
      <c r="I133" s="49">
        <f t="shared" ca="1" si="51"/>
        <v>0</v>
      </c>
      <c r="J133" s="49">
        <f t="shared" ca="1" si="51"/>
        <v>0</v>
      </c>
      <c r="K133" s="49">
        <f t="shared" ca="1" si="51"/>
        <v>0</v>
      </c>
      <c r="L133" s="49">
        <f t="shared" ca="1" si="51"/>
        <v>0</v>
      </c>
      <c r="M133" s="49">
        <f t="shared" ca="1" si="51"/>
        <v>0</v>
      </c>
      <c r="N133" s="49">
        <f t="shared" ca="1" si="51"/>
        <v>0</v>
      </c>
      <c r="O133" s="49">
        <f t="shared" ca="1" si="51"/>
        <v>0</v>
      </c>
      <c r="P133" s="49">
        <f t="shared" ca="1" si="51"/>
        <v>0</v>
      </c>
      <c r="Q133" s="49">
        <f t="shared" ca="1" si="51"/>
        <v>0</v>
      </c>
      <c r="R133" s="49">
        <f t="shared" ca="1" si="51"/>
        <v>0</v>
      </c>
      <c r="S133" s="49">
        <f t="shared" ca="1" si="51"/>
        <v>0</v>
      </c>
      <c r="T133" s="49">
        <f t="shared" ca="1" si="51"/>
        <v>0</v>
      </c>
      <c r="U133" s="49">
        <f t="shared" ca="1" si="51"/>
        <v>0</v>
      </c>
      <c r="V133" s="49">
        <f t="shared" ca="1" si="51"/>
        <v>0</v>
      </c>
      <c r="W133" s="49">
        <f t="shared" ca="1" si="51"/>
        <v>0</v>
      </c>
      <c r="X133" s="49">
        <f t="shared" ca="1" si="51"/>
        <v>0</v>
      </c>
      <c r="Y133" s="49">
        <f t="shared" ca="1" si="51"/>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7" t="s">
        <v>116</v>
      </c>
      <c r="E134" s="49">
        <f t="shared" ref="E134:Y134" ca="1" si="52">E97-E96</f>
        <v>0</v>
      </c>
      <c r="F134" s="49">
        <f t="shared" ca="1" si="52"/>
        <v>0</v>
      </c>
      <c r="G134" s="49">
        <f t="shared" ca="1" si="52"/>
        <v>0</v>
      </c>
      <c r="H134" s="49">
        <f t="shared" ca="1" si="52"/>
        <v>0</v>
      </c>
      <c r="I134" s="49">
        <f t="shared" ca="1" si="52"/>
        <v>0</v>
      </c>
      <c r="J134" s="49">
        <f t="shared" ca="1" si="52"/>
        <v>0</v>
      </c>
      <c r="K134" s="49">
        <f t="shared" ca="1" si="52"/>
        <v>0</v>
      </c>
      <c r="L134" s="49">
        <f t="shared" ca="1" si="52"/>
        <v>0</v>
      </c>
      <c r="M134" s="49">
        <f t="shared" ca="1" si="52"/>
        <v>0</v>
      </c>
      <c r="N134" s="49">
        <f t="shared" ca="1" si="52"/>
        <v>0</v>
      </c>
      <c r="O134" s="49">
        <f t="shared" ca="1" si="52"/>
        <v>0</v>
      </c>
      <c r="P134" s="49">
        <f t="shared" ca="1" si="52"/>
        <v>0</v>
      </c>
      <c r="Q134" s="49">
        <f t="shared" ca="1" si="52"/>
        <v>0</v>
      </c>
      <c r="R134" s="49">
        <f t="shared" ca="1" si="52"/>
        <v>0</v>
      </c>
      <c r="S134" s="49">
        <f t="shared" ca="1" si="52"/>
        <v>0</v>
      </c>
      <c r="T134" s="49">
        <f t="shared" ca="1" si="52"/>
        <v>0</v>
      </c>
      <c r="U134" s="49">
        <f t="shared" ca="1" si="52"/>
        <v>0</v>
      </c>
      <c r="V134" s="49">
        <f t="shared" ca="1" si="52"/>
        <v>0</v>
      </c>
      <c r="W134" s="49">
        <f t="shared" ca="1" si="52"/>
        <v>0</v>
      </c>
      <c r="X134" s="49">
        <f t="shared" ca="1" si="52"/>
        <v>0</v>
      </c>
      <c r="Y134" s="49">
        <f t="shared" ca="1" si="52"/>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7" t="s">
        <v>119</v>
      </c>
      <c r="E135" s="49">
        <f t="shared" ref="E135:Y135" ca="1" si="53">E98-E97</f>
        <v>0</v>
      </c>
      <c r="F135" s="49">
        <f t="shared" ca="1" si="53"/>
        <v>0</v>
      </c>
      <c r="G135" s="49">
        <f t="shared" ca="1" si="53"/>
        <v>0</v>
      </c>
      <c r="H135" s="49">
        <f t="shared" ca="1" si="53"/>
        <v>0</v>
      </c>
      <c r="I135" s="49">
        <f t="shared" ca="1" si="53"/>
        <v>0</v>
      </c>
      <c r="J135" s="49">
        <f t="shared" ca="1" si="53"/>
        <v>0</v>
      </c>
      <c r="K135" s="49">
        <f t="shared" ca="1" si="53"/>
        <v>0</v>
      </c>
      <c r="L135" s="49">
        <f t="shared" ca="1" si="53"/>
        <v>0</v>
      </c>
      <c r="M135" s="49">
        <f t="shared" ca="1" si="53"/>
        <v>0</v>
      </c>
      <c r="N135" s="49">
        <f t="shared" ca="1" si="53"/>
        <v>0</v>
      </c>
      <c r="O135" s="49">
        <f t="shared" ca="1" si="53"/>
        <v>0</v>
      </c>
      <c r="P135" s="49">
        <f t="shared" ca="1" si="53"/>
        <v>0</v>
      </c>
      <c r="Q135" s="49">
        <f t="shared" ca="1" si="53"/>
        <v>0</v>
      </c>
      <c r="R135" s="49">
        <f t="shared" ca="1" si="53"/>
        <v>0</v>
      </c>
      <c r="S135" s="49">
        <f t="shared" ca="1" si="53"/>
        <v>0</v>
      </c>
      <c r="T135" s="49">
        <f t="shared" ca="1" si="53"/>
        <v>0</v>
      </c>
      <c r="U135" s="49">
        <f t="shared" ca="1" si="53"/>
        <v>0</v>
      </c>
      <c r="V135" s="49">
        <f t="shared" ca="1" si="53"/>
        <v>0</v>
      </c>
      <c r="W135" s="49">
        <f t="shared" ca="1" si="53"/>
        <v>0</v>
      </c>
      <c r="X135" s="49">
        <f t="shared" ca="1" si="53"/>
        <v>0</v>
      </c>
      <c r="Y135" s="49">
        <f t="shared" ca="1" si="53"/>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7" t="s">
        <v>122</v>
      </c>
      <c r="E136" s="49">
        <f t="shared" ref="E136:Y136" ca="1" si="54">E99-E98</f>
        <v>0</v>
      </c>
      <c r="F136" s="49">
        <f t="shared" ca="1" si="54"/>
        <v>0</v>
      </c>
      <c r="G136" s="49">
        <f t="shared" ca="1" si="54"/>
        <v>0</v>
      </c>
      <c r="H136" s="49">
        <f t="shared" ca="1" si="54"/>
        <v>0</v>
      </c>
      <c r="I136" s="49">
        <f t="shared" ca="1" si="54"/>
        <v>0</v>
      </c>
      <c r="J136" s="49">
        <f t="shared" ca="1" si="54"/>
        <v>0</v>
      </c>
      <c r="K136" s="49">
        <f t="shared" ca="1" si="54"/>
        <v>0</v>
      </c>
      <c r="L136" s="49">
        <f t="shared" ca="1" si="54"/>
        <v>0</v>
      </c>
      <c r="M136" s="49">
        <f t="shared" ca="1" si="54"/>
        <v>0</v>
      </c>
      <c r="N136" s="49">
        <f t="shared" ca="1" si="54"/>
        <v>0</v>
      </c>
      <c r="O136" s="49">
        <f t="shared" ca="1" si="54"/>
        <v>0</v>
      </c>
      <c r="P136" s="49">
        <f t="shared" ca="1" si="54"/>
        <v>0</v>
      </c>
      <c r="Q136" s="49">
        <f t="shared" ca="1" si="54"/>
        <v>0</v>
      </c>
      <c r="R136" s="49">
        <f t="shared" ca="1" si="54"/>
        <v>0</v>
      </c>
      <c r="S136" s="49">
        <f t="shared" ca="1" si="54"/>
        <v>0</v>
      </c>
      <c r="T136" s="49">
        <f t="shared" ca="1" si="54"/>
        <v>0</v>
      </c>
      <c r="U136" s="49">
        <f t="shared" ca="1" si="54"/>
        <v>0</v>
      </c>
      <c r="V136" s="49">
        <f t="shared" ca="1" si="54"/>
        <v>0</v>
      </c>
      <c r="W136" s="49">
        <f t="shared" ca="1" si="54"/>
        <v>0</v>
      </c>
      <c r="X136" s="49">
        <f t="shared" ca="1" si="54"/>
        <v>0</v>
      </c>
      <c r="Y136" s="49">
        <f t="shared" ca="1" si="54"/>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7" t="s">
        <v>125</v>
      </c>
      <c r="E137" s="49">
        <f t="shared" ref="E137:Y137" ca="1" si="55">E100-E99</f>
        <v>0</v>
      </c>
      <c r="F137" s="49">
        <f t="shared" ca="1" si="55"/>
        <v>0</v>
      </c>
      <c r="G137" s="49">
        <f t="shared" ca="1" si="55"/>
        <v>0</v>
      </c>
      <c r="H137" s="49">
        <f t="shared" ca="1" si="55"/>
        <v>0</v>
      </c>
      <c r="I137" s="49">
        <f t="shared" ca="1" si="55"/>
        <v>0</v>
      </c>
      <c r="J137" s="49">
        <f t="shared" ca="1" si="55"/>
        <v>0</v>
      </c>
      <c r="K137" s="49">
        <f t="shared" ca="1" si="55"/>
        <v>0</v>
      </c>
      <c r="L137" s="49">
        <f t="shared" ca="1" si="55"/>
        <v>0</v>
      </c>
      <c r="M137" s="49">
        <f t="shared" ca="1" si="55"/>
        <v>0</v>
      </c>
      <c r="N137" s="49">
        <f t="shared" ca="1" si="55"/>
        <v>0</v>
      </c>
      <c r="O137" s="49">
        <f t="shared" ca="1" si="55"/>
        <v>0</v>
      </c>
      <c r="P137" s="49">
        <f t="shared" ca="1" si="55"/>
        <v>0</v>
      </c>
      <c r="Q137" s="49">
        <f t="shared" ca="1" si="55"/>
        <v>0</v>
      </c>
      <c r="R137" s="49">
        <f t="shared" ca="1" si="55"/>
        <v>0</v>
      </c>
      <c r="S137" s="49">
        <f t="shared" ca="1" si="55"/>
        <v>0</v>
      </c>
      <c r="T137" s="49">
        <f t="shared" ca="1" si="55"/>
        <v>0</v>
      </c>
      <c r="U137" s="49">
        <f t="shared" ca="1" si="55"/>
        <v>0</v>
      </c>
      <c r="V137" s="49">
        <f t="shared" ca="1" si="55"/>
        <v>0</v>
      </c>
      <c r="W137" s="49">
        <f t="shared" ca="1" si="55"/>
        <v>0</v>
      </c>
      <c r="X137" s="49">
        <f t="shared" ca="1" si="55"/>
        <v>0</v>
      </c>
      <c r="Y137" s="49">
        <f t="shared" ca="1" si="55"/>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7" t="s">
        <v>128</v>
      </c>
      <c r="E138" s="49">
        <f t="shared" ref="E138:Y138" ca="1" si="56">E101-E100</f>
        <v>0</v>
      </c>
      <c r="F138" s="49">
        <f t="shared" ca="1" si="56"/>
        <v>0</v>
      </c>
      <c r="G138" s="49">
        <f t="shared" ca="1" si="56"/>
        <v>0</v>
      </c>
      <c r="H138" s="49">
        <f t="shared" ca="1" si="56"/>
        <v>0</v>
      </c>
      <c r="I138" s="49">
        <f t="shared" ca="1" si="56"/>
        <v>0</v>
      </c>
      <c r="J138" s="49">
        <f t="shared" ca="1" si="56"/>
        <v>0</v>
      </c>
      <c r="K138" s="49">
        <f t="shared" ca="1" si="56"/>
        <v>0</v>
      </c>
      <c r="L138" s="49">
        <f t="shared" ca="1" si="56"/>
        <v>0</v>
      </c>
      <c r="M138" s="49">
        <f t="shared" ca="1" si="56"/>
        <v>0</v>
      </c>
      <c r="N138" s="49">
        <f t="shared" ca="1" si="56"/>
        <v>0</v>
      </c>
      <c r="O138" s="49">
        <f t="shared" ca="1" si="56"/>
        <v>0</v>
      </c>
      <c r="P138" s="49">
        <f t="shared" ca="1" si="56"/>
        <v>0</v>
      </c>
      <c r="Q138" s="49">
        <f t="shared" ca="1" si="56"/>
        <v>0</v>
      </c>
      <c r="R138" s="49">
        <f t="shared" ca="1" si="56"/>
        <v>0</v>
      </c>
      <c r="S138" s="49">
        <f t="shared" ca="1" si="56"/>
        <v>0</v>
      </c>
      <c r="T138" s="49">
        <f t="shared" ca="1" si="56"/>
        <v>0</v>
      </c>
      <c r="U138" s="49">
        <f t="shared" ca="1" si="56"/>
        <v>0</v>
      </c>
      <c r="V138" s="49">
        <f t="shared" ca="1" si="56"/>
        <v>0</v>
      </c>
      <c r="W138" s="49">
        <f t="shared" ca="1" si="56"/>
        <v>0</v>
      </c>
      <c r="X138" s="49">
        <f t="shared" ca="1" si="56"/>
        <v>0</v>
      </c>
      <c r="Y138" s="49">
        <f t="shared" ca="1" si="56"/>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7" t="s">
        <v>131</v>
      </c>
      <c r="E139" s="49">
        <f t="shared" ref="E139:Y139" ca="1" si="57">E102-E101</f>
        <v>0</v>
      </c>
      <c r="F139" s="49">
        <f t="shared" ca="1" si="57"/>
        <v>0</v>
      </c>
      <c r="G139" s="49">
        <f t="shared" ca="1" si="57"/>
        <v>0</v>
      </c>
      <c r="H139" s="49">
        <f t="shared" ca="1" si="57"/>
        <v>0</v>
      </c>
      <c r="I139" s="49">
        <f t="shared" ca="1" si="57"/>
        <v>0</v>
      </c>
      <c r="J139" s="49">
        <f t="shared" ca="1" si="57"/>
        <v>0</v>
      </c>
      <c r="K139" s="49">
        <f t="shared" ca="1" si="57"/>
        <v>0</v>
      </c>
      <c r="L139" s="49">
        <f t="shared" ca="1" si="57"/>
        <v>0</v>
      </c>
      <c r="M139" s="49">
        <f t="shared" ca="1" si="57"/>
        <v>0</v>
      </c>
      <c r="N139" s="49">
        <f t="shared" ca="1" si="57"/>
        <v>0</v>
      </c>
      <c r="O139" s="49">
        <f t="shared" ca="1" si="57"/>
        <v>0</v>
      </c>
      <c r="P139" s="49">
        <f t="shared" ca="1" si="57"/>
        <v>0</v>
      </c>
      <c r="Q139" s="49">
        <f t="shared" ca="1" si="57"/>
        <v>0</v>
      </c>
      <c r="R139" s="49">
        <f t="shared" ca="1" si="57"/>
        <v>0</v>
      </c>
      <c r="S139" s="49">
        <f t="shared" ca="1" si="57"/>
        <v>0</v>
      </c>
      <c r="T139" s="49">
        <f t="shared" ca="1" si="57"/>
        <v>0</v>
      </c>
      <c r="U139" s="49">
        <f t="shared" ca="1" si="57"/>
        <v>0</v>
      </c>
      <c r="V139" s="49">
        <f t="shared" ca="1" si="57"/>
        <v>0</v>
      </c>
      <c r="W139" s="49">
        <f t="shared" ca="1" si="57"/>
        <v>0</v>
      </c>
      <c r="X139" s="49">
        <f t="shared" ca="1" si="57"/>
        <v>0</v>
      </c>
      <c r="Y139" s="49">
        <f t="shared" ca="1" si="57"/>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7" t="s">
        <v>134</v>
      </c>
      <c r="E140" s="49">
        <f t="shared" ref="E140:Y140" ca="1" si="58">E103-E102</f>
        <v>0</v>
      </c>
      <c r="F140" s="49">
        <f t="shared" ca="1" si="58"/>
        <v>0</v>
      </c>
      <c r="G140" s="49">
        <f t="shared" ca="1" si="58"/>
        <v>0</v>
      </c>
      <c r="H140" s="49">
        <f t="shared" ca="1" si="58"/>
        <v>0</v>
      </c>
      <c r="I140" s="49">
        <f t="shared" ca="1" si="58"/>
        <v>0</v>
      </c>
      <c r="J140" s="49">
        <f t="shared" ca="1" si="58"/>
        <v>0</v>
      </c>
      <c r="K140" s="49">
        <f t="shared" ca="1" si="58"/>
        <v>0</v>
      </c>
      <c r="L140" s="49">
        <f t="shared" ca="1" si="58"/>
        <v>0</v>
      </c>
      <c r="M140" s="49">
        <f t="shared" ca="1" si="58"/>
        <v>0</v>
      </c>
      <c r="N140" s="49">
        <f t="shared" ca="1" si="58"/>
        <v>0</v>
      </c>
      <c r="O140" s="49">
        <f t="shared" ca="1" si="58"/>
        <v>0</v>
      </c>
      <c r="P140" s="49">
        <f t="shared" ca="1" si="58"/>
        <v>0</v>
      </c>
      <c r="Q140" s="49">
        <f t="shared" ca="1" si="58"/>
        <v>0</v>
      </c>
      <c r="R140" s="49">
        <f t="shared" ca="1" si="58"/>
        <v>0</v>
      </c>
      <c r="S140" s="49">
        <f t="shared" ca="1" si="58"/>
        <v>0</v>
      </c>
      <c r="T140" s="49">
        <f t="shared" ca="1" si="58"/>
        <v>0</v>
      </c>
      <c r="U140" s="49">
        <f t="shared" ca="1" si="58"/>
        <v>0</v>
      </c>
      <c r="V140" s="49">
        <f t="shared" ca="1" si="58"/>
        <v>0</v>
      </c>
      <c r="W140" s="49">
        <f t="shared" ca="1" si="58"/>
        <v>0</v>
      </c>
      <c r="X140" s="49">
        <f t="shared" ca="1" si="58"/>
        <v>0</v>
      </c>
      <c r="Y140" s="49">
        <f t="shared" ca="1" si="58"/>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7" t="s">
        <v>137</v>
      </c>
      <c r="E141" s="49">
        <f t="shared" ref="E141:Y141" ca="1" si="59">E104-E103</f>
        <v>0</v>
      </c>
      <c r="F141" s="49">
        <f t="shared" ca="1" si="59"/>
        <v>0</v>
      </c>
      <c r="G141" s="49">
        <f t="shared" ca="1" si="59"/>
        <v>0</v>
      </c>
      <c r="H141" s="49">
        <f t="shared" ca="1" si="59"/>
        <v>0</v>
      </c>
      <c r="I141" s="49">
        <f t="shared" ca="1" si="59"/>
        <v>0</v>
      </c>
      <c r="J141" s="49">
        <f t="shared" ca="1" si="59"/>
        <v>0</v>
      </c>
      <c r="K141" s="49">
        <f t="shared" ca="1" si="59"/>
        <v>0</v>
      </c>
      <c r="L141" s="49">
        <f t="shared" ca="1" si="59"/>
        <v>0</v>
      </c>
      <c r="M141" s="49">
        <f t="shared" ca="1" si="59"/>
        <v>0</v>
      </c>
      <c r="N141" s="49">
        <f t="shared" ca="1" si="59"/>
        <v>0</v>
      </c>
      <c r="O141" s="49">
        <f t="shared" ca="1" si="59"/>
        <v>0</v>
      </c>
      <c r="P141" s="49">
        <f t="shared" ca="1" si="59"/>
        <v>0</v>
      </c>
      <c r="Q141" s="49">
        <f t="shared" ca="1" si="59"/>
        <v>0</v>
      </c>
      <c r="R141" s="49">
        <f t="shared" ca="1" si="59"/>
        <v>0</v>
      </c>
      <c r="S141" s="49">
        <f t="shared" ca="1" si="59"/>
        <v>0</v>
      </c>
      <c r="T141" s="49">
        <f t="shared" ca="1" si="59"/>
        <v>0</v>
      </c>
      <c r="U141" s="49">
        <f t="shared" ca="1" si="59"/>
        <v>0</v>
      </c>
      <c r="V141" s="49">
        <f t="shared" ca="1" si="59"/>
        <v>0</v>
      </c>
      <c r="W141" s="49">
        <f t="shared" ca="1" si="59"/>
        <v>0</v>
      </c>
      <c r="X141" s="49">
        <f t="shared" ca="1" si="59"/>
        <v>0</v>
      </c>
      <c r="Y141" s="49">
        <f t="shared" ca="1" si="59"/>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7" t="s">
        <v>558</v>
      </c>
      <c r="E142" s="49">
        <f t="shared" ref="E142:Y142" ca="1" si="60">E105-E104</f>
        <v>0</v>
      </c>
      <c r="F142" s="49">
        <f t="shared" ca="1" si="60"/>
        <v>0</v>
      </c>
      <c r="G142" s="49">
        <f t="shared" ca="1" si="60"/>
        <v>0</v>
      </c>
      <c r="H142" s="49">
        <f t="shared" ca="1" si="60"/>
        <v>0</v>
      </c>
      <c r="I142" s="49">
        <f t="shared" ca="1" si="60"/>
        <v>0</v>
      </c>
      <c r="J142" s="49">
        <f t="shared" ca="1" si="60"/>
        <v>0</v>
      </c>
      <c r="K142" s="49">
        <f t="shared" ca="1" si="60"/>
        <v>0</v>
      </c>
      <c r="L142" s="49">
        <f t="shared" ca="1" si="60"/>
        <v>0</v>
      </c>
      <c r="M142" s="49">
        <f t="shared" ca="1" si="60"/>
        <v>0</v>
      </c>
      <c r="N142" s="49">
        <f t="shared" ca="1" si="60"/>
        <v>0</v>
      </c>
      <c r="O142" s="49">
        <f t="shared" ca="1" si="60"/>
        <v>0</v>
      </c>
      <c r="P142" s="49">
        <f t="shared" ca="1" si="60"/>
        <v>0</v>
      </c>
      <c r="Q142" s="49">
        <f t="shared" ca="1" si="60"/>
        <v>0</v>
      </c>
      <c r="R142" s="49">
        <f t="shared" ca="1" si="60"/>
        <v>0</v>
      </c>
      <c r="S142" s="49">
        <f t="shared" ca="1" si="60"/>
        <v>0</v>
      </c>
      <c r="T142" s="49">
        <f t="shared" ca="1" si="60"/>
        <v>0</v>
      </c>
      <c r="U142" s="49">
        <f t="shared" ca="1" si="60"/>
        <v>0</v>
      </c>
      <c r="V142" s="49">
        <f t="shared" ca="1" si="60"/>
        <v>0</v>
      </c>
      <c r="W142" s="49">
        <f t="shared" ca="1" si="60"/>
        <v>0</v>
      </c>
      <c r="X142" s="49">
        <f t="shared" ca="1" si="60"/>
        <v>0</v>
      </c>
      <c r="Y142" s="49">
        <f t="shared" ca="1" si="60"/>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D143" s="7" t="s">
        <v>560</v>
      </c>
      <c r="E143" s="49">
        <f t="shared" ref="E143:Y143" ca="1" si="61">E106-E105</f>
        <v>0</v>
      </c>
      <c r="F143" s="49">
        <f t="shared" ca="1" si="61"/>
        <v>0</v>
      </c>
      <c r="G143" s="49">
        <f t="shared" ca="1" si="61"/>
        <v>0</v>
      </c>
      <c r="H143" s="49">
        <f t="shared" ca="1" si="61"/>
        <v>0</v>
      </c>
      <c r="I143" s="49">
        <f t="shared" ca="1" si="61"/>
        <v>0</v>
      </c>
      <c r="J143" s="49">
        <f t="shared" ca="1" si="61"/>
        <v>0</v>
      </c>
      <c r="K143" s="49">
        <f t="shared" ca="1" si="61"/>
        <v>0</v>
      </c>
      <c r="L143" s="49">
        <f t="shared" ca="1" si="61"/>
        <v>0</v>
      </c>
      <c r="M143" s="49">
        <f t="shared" ca="1" si="61"/>
        <v>0</v>
      </c>
      <c r="N143" s="49">
        <f t="shared" ca="1" si="61"/>
        <v>0</v>
      </c>
      <c r="O143" s="49">
        <f t="shared" ca="1" si="61"/>
        <v>0</v>
      </c>
      <c r="P143" s="49">
        <f t="shared" ca="1" si="61"/>
        <v>0</v>
      </c>
      <c r="Q143" s="49">
        <f t="shared" ca="1" si="61"/>
        <v>0</v>
      </c>
      <c r="R143" s="49">
        <f t="shared" ca="1" si="61"/>
        <v>0</v>
      </c>
      <c r="S143" s="49">
        <f t="shared" ca="1" si="61"/>
        <v>0</v>
      </c>
      <c r="T143" s="49">
        <f t="shared" ca="1" si="61"/>
        <v>0</v>
      </c>
      <c r="U143" s="49">
        <f t="shared" ca="1" si="61"/>
        <v>0</v>
      </c>
      <c r="V143" s="49">
        <f t="shared" ca="1" si="61"/>
        <v>0</v>
      </c>
      <c r="W143" s="49">
        <f t="shared" ca="1" si="61"/>
        <v>0</v>
      </c>
      <c r="X143" s="49">
        <f t="shared" ca="1" si="61"/>
        <v>0</v>
      </c>
      <c r="Y143" s="49">
        <f t="shared" ca="1" si="61"/>
        <v>0</v>
      </c>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c r="D144" s="7" t="s">
        <v>563</v>
      </c>
      <c r="E144" s="49">
        <f t="shared" ref="E144:Y144" ca="1" si="62">E107-E106</f>
        <v>0</v>
      </c>
      <c r="F144" s="49">
        <f t="shared" ca="1" si="62"/>
        <v>0</v>
      </c>
      <c r="G144" s="49">
        <f t="shared" ca="1" si="62"/>
        <v>0</v>
      </c>
      <c r="H144" s="49">
        <f t="shared" ca="1" si="62"/>
        <v>0</v>
      </c>
      <c r="I144" s="49">
        <f t="shared" ca="1" si="62"/>
        <v>0</v>
      </c>
      <c r="J144" s="49">
        <f t="shared" ca="1" si="62"/>
        <v>0</v>
      </c>
      <c r="K144" s="49">
        <f t="shared" ca="1" si="62"/>
        <v>0</v>
      </c>
      <c r="L144" s="49">
        <f t="shared" ca="1" si="62"/>
        <v>0</v>
      </c>
      <c r="M144" s="49">
        <f t="shared" ca="1" si="62"/>
        <v>0</v>
      </c>
      <c r="N144" s="49">
        <f t="shared" ca="1" si="62"/>
        <v>0</v>
      </c>
      <c r="O144" s="49">
        <f t="shared" ca="1" si="62"/>
        <v>0</v>
      </c>
      <c r="P144" s="49">
        <f t="shared" ca="1" si="62"/>
        <v>0</v>
      </c>
      <c r="Q144" s="49">
        <f t="shared" ca="1" si="62"/>
        <v>0</v>
      </c>
      <c r="R144" s="49">
        <f t="shared" ca="1" si="62"/>
        <v>0</v>
      </c>
      <c r="S144" s="49">
        <f t="shared" ca="1" si="62"/>
        <v>0</v>
      </c>
      <c r="T144" s="49">
        <f t="shared" ca="1" si="62"/>
        <v>0</v>
      </c>
      <c r="U144" s="49">
        <f t="shared" ca="1" si="62"/>
        <v>0</v>
      </c>
      <c r="V144" s="49">
        <f t="shared" ca="1" si="62"/>
        <v>0</v>
      </c>
      <c r="W144" s="49">
        <f t="shared" ca="1" si="62"/>
        <v>0</v>
      </c>
      <c r="X144" s="49">
        <f t="shared" ca="1" si="62"/>
        <v>0</v>
      </c>
      <c r="Y144" s="49">
        <f t="shared" ca="1" si="62"/>
        <v>0</v>
      </c>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c r="D145" s="7" t="s">
        <v>566</v>
      </c>
      <c r="E145" s="49">
        <f t="shared" ref="E145:Y145" ca="1" si="63">E108-E107</f>
        <v>0</v>
      </c>
      <c r="F145" s="49">
        <f t="shared" ca="1" si="63"/>
        <v>0</v>
      </c>
      <c r="G145" s="49">
        <f t="shared" ca="1" si="63"/>
        <v>0</v>
      </c>
      <c r="H145" s="49">
        <f t="shared" ca="1" si="63"/>
        <v>0</v>
      </c>
      <c r="I145" s="49">
        <f t="shared" ca="1" si="63"/>
        <v>0</v>
      </c>
      <c r="J145" s="49">
        <f t="shared" ca="1" si="63"/>
        <v>0</v>
      </c>
      <c r="K145" s="49">
        <f t="shared" ca="1" si="63"/>
        <v>0</v>
      </c>
      <c r="L145" s="49">
        <f t="shared" ca="1" si="63"/>
        <v>0</v>
      </c>
      <c r="M145" s="49">
        <f t="shared" ca="1" si="63"/>
        <v>0</v>
      </c>
      <c r="N145" s="49">
        <f t="shared" ca="1" si="63"/>
        <v>0</v>
      </c>
      <c r="O145" s="49">
        <f t="shared" ca="1" si="63"/>
        <v>0</v>
      </c>
      <c r="P145" s="49">
        <f t="shared" ca="1" si="63"/>
        <v>0</v>
      </c>
      <c r="Q145" s="49">
        <f t="shared" ca="1" si="63"/>
        <v>0</v>
      </c>
      <c r="R145" s="49">
        <f t="shared" ca="1" si="63"/>
        <v>0</v>
      </c>
      <c r="S145" s="49">
        <f t="shared" ca="1" si="63"/>
        <v>0</v>
      </c>
      <c r="T145" s="49">
        <f t="shared" ca="1" si="63"/>
        <v>0</v>
      </c>
      <c r="U145" s="49">
        <f t="shared" ca="1" si="63"/>
        <v>0</v>
      </c>
      <c r="V145" s="49">
        <f t="shared" ca="1" si="63"/>
        <v>0</v>
      </c>
      <c r="W145" s="49">
        <f t="shared" ca="1" si="63"/>
        <v>0</v>
      </c>
      <c r="X145" s="49">
        <f t="shared" ca="1" si="63"/>
        <v>0</v>
      </c>
      <c r="Y145" s="49">
        <f t="shared" ca="1" si="63"/>
        <v>0</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D146" s="7" t="s">
        <v>569</v>
      </c>
      <c r="E146" s="49">
        <f t="shared" ref="E146:Y146" ca="1" si="64">E109-E108</f>
        <v>0</v>
      </c>
      <c r="F146" s="49">
        <f t="shared" ca="1" si="64"/>
        <v>0</v>
      </c>
      <c r="G146" s="49">
        <f t="shared" ca="1" si="64"/>
        <v>0</v>
      </c>
      <c r="H146" s="49">
        <f t="shared" ca="1" si="64"/>
        <v>0</v>
      </c>
      <c r="I146" s="49">
        <f t="shared" ca="1" si="64"/>
        <v>0</v>
      </c>
      <c r="J146" s="49">
        <f t="shared" ca="1" si="64"/>
        <v>0</v>
      </c>
      <c r="K146" s="49">
        <f t="shared" ca="1" si="64"/>
        <v>0</v>
      </c>
      <c r="L146" s="49">
        <f t="shared" ca="1" si="64"/>
        <v>0</v>
      </c>
      <c r="M146" s="49">
        <f t="shared" ca="1" si="64"/>
        <v>0</v>
      </c>
      <c r="N146" s="49">
        <f t="shared" ca="1" si="64"/>
        <v>0</v>
      </c>
      <c r="O146" s="49">
        <f t="shared" ca="1" si="64"/>
        <v>0</v>
      </c>
      <c r="P146" s="49">
        <f t="shared" ca="1" si="64"/>
        <v>0</v>
      </c>
      <c r="Q146" s="49">
        <f t="shared" ca="1" si="64"/>
        <v>0</v>
      </c>
      <c r="R146" s="49">
        <f t="shared" ca="1" si="64"/>
        <v>0</v>
      </c>
      <c r="S146" s="49">
        <f t="shared" ca="1" si="64"/>
        <v>0</v>
      </c>
      <c r="T146" s="49">
        <f t="shared" ca="1" si="64"/>
        <v>0</v>
      </c>
      <c r="U146" s="49">
        <f t="shared" ca="1" si="64"/>
        <v>0</v>
      </c>
      <c r="V146" s="49">
        <f t="shared" ca="1" si="64"/>
        <v>0</v>
      </c>
      <c r="W146" s="49">
        <f t="shared" ca="1" si="64"/>
        <v>0</v>
      </c>
      <c r="X146" s="49">
        <f t="shared" ca="1" si="64"/>
        <v>0</v>
      </c>
      <c r="Y146" s="49">
        <f t="shared" ca="1" si="64"/>
        <v>0</v>
      </c>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D147" s="7" t="s">
        <v>572</v>
      </c>
      <c r="E147" s="49">
        <f t="shared" ref="E147:Y147" ca="1" si="65">E110-E109</f>
        <v>0</v>
      </c>
      <c r="F147" s="49">
        <f t="shared" ca="1" si="65"/>
        <v>0</v>
      </c>
      <c r="G147" s="49">
        <f t="shared" ca="1" si="65"/>
        <v>0</v>
      </c>
      <c r="H147" s="49">
        <f t="shared" ca="1" si="65"/>
        <v>0</v>
      </c>
      <c r="I147" s="49">
        <f t="shared" ca="1" si="65"/>
        <v>0</v>
      </c>
      <c r="J147" s="49">
        <f t="shared" ca="1" si="65"/>
        <v>0</v>
      </c>
      <c r="K147" s="49">
        <f t="shared" ca="1" si="65"/>
        <v>0</v>
      </c>
      <c r="L147" s="49">
        <f t="shared" ca="1" si="65"/>
        <v>0</v>
      </c>
      <c r="M147" s="49">
        <f t="shared" ca="1" si="65"/>
        <v>0</v>
      </c>
      <c r="N147" s="49">
        <f t="shared" ca="1" si="65"/>
        <v>0</v>
      </c>
      <c r="O147" s="49">
        <f t="shared" ca="1" si="65"/>
        <v>0</v>
      </c>
      <c r="P147" s="49">
        <f t="shared" ca="1" si="65"/>
        <v>0</v>
      </c>
      <c r="Q147" s="49">
        <f t="shared" ca="1" si="65"/>
        <v>0</v>
      </c>
      <c r="R147" s="49">
        <f t="shared" ca="1" si="65"/>
        <v>0</v>
      </c>
      <c r="S147" s="49">
        <f t="shared" ca="1" si="65"/>
        <v>0</v>
      </c>
      <c r="T147" s="49">
        <f t="shared" ca="1" si="65"/>
        <v>0</v>
      </c>
      <c r="U147" s="49">
        <f t="shared" ca="1" si="65"/>
        <v>0</v>
      </c>
      <c r="V147" s="49">
        <f t="shared" ca="1" si="65"/>
        <v>0</v>
      </c>
      <c r="W147" s="49">
        <f t="shared" ca="1" si="65"/>
        <v>0</v>
      </c>
      <c r="X147" s="49">
        <f t="shared" ca="1" si="65"/>
        <v>0</v>
      </c>
      <c r="Y147" s="49">
        <f t="shared" ca="1" si="65"/>
        <v>0</v>
      </c>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 r="D148" s="7" t="s">
        <v>575</v>
      </c>
      <c r="E148" s="49">
        <f t="shared" ref="E148:Y148" ca="1" si="66">E111-E110</f>
        <v>0</v>
      </c>
      <c r="F148" s="49">
        <f t="shared" ca="1" si="66"/>
        <v>0</v>
      </c>
      <c r="G148" s="49">
        <f t="shared" ca="1" si="66"/>
        <v>0</v>
      </c>
      <c r="H148" s="49">
        <f t="shared" ca="1" si="66"/>
        <v>0</v>
      </c>
      <c r="I148" s="49">
        <f t="shared" ca="1" si="66"/>
        <v>0</v>
      </c>
      <c r="J148" s="49">
        <f t="shared" ca="1" si="66"/>
        <v>0</v>
      </c>
      <c r="K148" s="49">
        <f t="shared" ca="1" si="66"/>
        <v>0</v>
      </c>
      <c r="L148" s="49">
        <f t="shared" ca="1" si="66"/>
        <v>0</v>
      </c>
      <c r="M148" s="49">
        <f t="shared" ca="1" si="66"/>
        <v>0</v>
      </c>
      <c r="N148" s="49">
        <f t="shared" ca="1" si="66"/>
        <v>0</v>
      </c>
      <c r="O148" s="49">
        <f t="shared" ca="1" si="66"/>
        <v>0</v>
      </c>
      <c r="P148" s="49">
        <f t="shared" ca="1" si="66"/>
        <v>0</v>
      </c>
      <c r="Q148" s="49">
        <f t="shared" ca="1" si="66"/>
        <v>0</v>
      </c>
      <c r="R148" s="49">
        <f t="shared" ca="1" si="66"/>
        <v>0</v>
      </c>
      <c r="S148" s="49">
        <f t="shared" ca="1" si="66"/>
        <v>0</v>
      </c>
      <c r="T148" s="49">
        <f t="shared" ca="1" si="66"/>
        <v>0</v>
      </c>
      <c r="U148" s="49">
        <f t="shared" ca="1" si="66"/>
        <v>0</v>
      </c>
      <c r="V148" s="49">
        <f t="shared" ca="1" si="66"/>
        <v>0</v>
      </c>
      <c r="W148" s="49">
        <f t="shared" ca="1" si="66"/>
        <v>0</v>
      </c>
      <c r="X148" s="49">
        <f t="shared" ca="1" si="66"/>
        <v>0</v>
      </c>
      <c r="Y148" s="49">
        <f t="shared" ca="1" si="66"/>
        <v>0</v>
      </c>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row>
    <row r="149" spans="4:79">
      <c r="D149" s="7" t="s">
        <v>578</v>
      </c>
      <c r="E149" s="49">
        <f t="shared" ref="E149:Y149" ca="1" si="67">E112-E111</f>
        <v>0</v>
      </c>
      <c r="F149" s="49">
        <f t="shared" ca="1" si="67"/>
        <v>0</v>
      </c>
      <c r="G149" s="49">
        <f t="shared" ca="1" si="67"/>
        <v>0</v>
      </c>
      <c r="H149" s="49">
        <f t="shared" ca="1" si="67"/>
        <v>0</v>
      </c>
      <c r="I149" s="49">
        <f t="shared" ca="1" si="67"/>
        <v>0</v>
      </c>
      <c r="J149" s="49">
        <f t="shared" ca="1" si="67"/>
        <v>0</v>
      </c>
      <c r="K149" s="49">
        <f t="shared" ca="1" si="67"/>
        <v>0</v>
      </c>
      <c r="L149" s="49">
        <f t="shared" ca="1" si="67"/>
        <v>0</v>
      </c>
      <c r="M149" s="49">
        <f t="shared" ca="1" si="67"/>
        <v>0</v>
      </c>
      <c r="N149" s="49">
        <f t="shared" ca="1" si="67"/>
        <v>0</v>
      </c>
      <c r="O149" s="49">
        <f t="shared" ca="1" si="67"/>
        <v>0</v>
      </c>
      <c r="P149" s="49">
        <f t="shared" ca="1" si="67"/>
        <v>0</v>
      </c>
      <c r="Q149" s="49">
        <f t="shared" ca="1" si="67"/>
        <v>0</v>
      </c>
      <c r="R149" s="49">
        <f t="shared" ca="1" si="67"/>
        <v>0</v>
      </c>
      <c r="S149" s="49">
        <f t="shared" ca="1" si="67"/>
        <v>0</v>
      </c>
      <c r="T149" s="49">
        <f t="shared" ca="1" si="67"/>
        <v>0</v>
      </c>
      <c r="U149" s="49">
        <f t="shared" ca="1" si="67"/>
        <v>0</v>
      </c>
      <c r="V149" s="49">
        <f t="shared" ca="1" si="67"/>
        <v>0</v>
      </c>
      <c r="W149" s="49">
        <f t="shared" ca="1" si="67"/>
        <v>0</v>
      </c>
      <c r="X149" s="49">
        <f t="shared" ca="1" si="67"/>
        <v>0</v>
      </c>
      <c r="Y149" s="49">
        <f t="shared" ca="1" si="67"/>
        <v>0</v>
      </c>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row>
    <row r="150" spans="4:79">
      <c r="D150" s="7" t="s">
        <v>581</v>
      </c>
      <c r="E150" s="49">
        <f t="shared" ref="E150:Y150" ca="1" si="68">E113-E112</f>
        <v>0</v>
      </c>
      <c r="F150" s="49">
        <f t="shared" ca="1" si="68"/>
        <v>0</v>
      </c>
      <c r="G150" s="49">
        <f t="shared" ca="1" si="68"/>
        <v>0</v>
      </c>
      <c r="H150" s="49">
        <f t="shared" ca="1" si="68"/>
        <v>0</v>
      </c>
      <c r="I150" s="49">
        <f t="shared" ca="1" si="68"/>
        <v>0</v>
      </c>
      <c r="J150" s="49">
        <f t="shared" ca="1" si="68"/>
        <v>0</v>
      </c>
      <c r="K150" s="49">
        <f t="shared" ca="1" si="68"/>
        <v>0</v>
      </c>
      <c r="L150" s="49">
        <f t="shared" ca="1" si="68"/>
        <v>0</v>
      </c>
      <c r="M150" s="49">
        <f t="shared" ca="1" si="68"/>
        <v>0</v>
      </c>
      <c r="N150" s="49">
        <f t="shared" ca="1" si="68"/>
        <v>0</v>
      </c>
      <c r="O150" s="49">
        <f t="shared" ca="1" si="68"/>
        <v>0</v>
      </c>
      <c r="P150" s="49">
        <f t="shared" ca="1" si="68"/>
        <v>0</v>
      </c>
      <c r="Q150" s="49">
        <f t="shared" ca="1" si="68"/>
        <v>0</v>
      </c>
      <c r="R150" s="49">
        <f t="shared" ca="1" si="68"/>
        <v>0</v>
      </c>
      <c r="S150" s="49">
        <f t="shared" ca="1" si="68"/>
        <v>0</v>
      </c>
      <c r="T150" s="49">
        <f t="shared" ca="1" si="68"/>
        <v>0</v>
      </c>
      <c r="U150" s="49">
        <f t="shared" ca="1" si="68"/>
        <v>0</v>
      </c>
      <c r="V150" s="49">
        <f t="shared" ca="1" si="68"/>
        <v>0</v>
      </c>
      <c r="W150" s="49">
        <f t="shared" ca="1" si="68"/>
        <v>0</v>
      </c>
      <c r="X150" s="49">
        <f t="shared" ca="1" si="68"/>
        <v>0</v>
      </c>
      <c r="Y150" s="49">
        <f t="shared" ca="1" si="68"/>
        <v>0</v>
      </c>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row>
    <row r="151" spans="4:79">
      <c r="D151" s="7" t="s">
        <v>584</v>
      </c>
      <c r="E151" s="49">
        <f t="shared" ref="E151:Y151" ca="1" si="69">E114-E113</f>
        <v>0</v>
      </c>
      <c r="F151" s="49">
        <f t="shared" ca="1" si="69"/>
        <v>0</v>
      </c>
      <c r="G151" s="49">
        <f t="shared" ca="1" si="69"/>
        <v>0</v>
      </c>
      <c r="H151" s="49">
        <f t="shared" ca="1" si="69"/>
        <v>0</v>
      </c>
      <c r="I151" s="49">
        <f t="shared" ca="1" si="69"/>
        <v>0</v>
      </c>
      <c r="J151" s="49">
        <f t="shared" ca="1" si="69"/>
        <v>0</v>
      </c>
      <c r="K151" s="49">
        <f t="shared" ca="1" si="69"/>
        <v>0</v>
      </c>
      <c r="L151" s="49">
        <f t="shared" ca="1" si="69"/>
        <v>0</v>
      </c>
      <c r="M151" s="49">
        <f t="shared" ca="1" si="69"/>
        <v>0</v>
      </c>
      <c r="N151" s="49">
        <f t="shared" ca="1" si="69"/>
        <v>0</v>
      </c>
      <c r="O151" s="49">
        <f t="shared" ca="1" si="69"/>
        <v>0</v>
      </c>
      <c r="P151" s="49">
        <f t="shared" ca="1" si="69"/>
        <v>0</v>
      </c>
      <c r="Q151" s="49">
        <f t="shared" ca="1" si="69"/>
        <v>0</v>
      </c>
      <c r="R151" s="49">
        <f t="shared" ca="1" si="69"/>
        <v>0</v>
      </c>
      <c r="S151" s="49">
        <f t="shared" ca="1" si="69"/>
        <v>0</v>
      </c>
      <c r="T151" s="49">
        <f t="shared" ca="1" si="69"/>
        <v>0</v>
      </c>
      <c r="U151" s="49">
        <f t="shared" ca="1" si="69"/>
        <v>0</v>
      </c>
      <c r="V151" s="49">
        <f t="shared" ca="1" si="69"/>
        <v>0</v>
      </c>
      <c r="W151" s="49">
        <f t="shared" ca="1" si="69"/>
        <v>0</v>
      </c>
      <c r="X151" s="49">
        <f t="shared" ca="1" si="69"/>
        <v>0</v>
      </c>
      <c r="Y151" s="49">
        <f t="shared" ca="1" si="69"/>
        <v>0</v>
      </c>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row>
    <row r="152" spans="4:79">
      <c r="D152" s="7" t="s">
        <v>587</v>
      </c>
      <c r="E152" s="49">
        <f t="shared" ref="E152:Y152" ca="1" si="70">E115-E114</f>
        <v>0</v>
      </c>
      <c r="F152" s="49">
        <f t="shared" ca="1" si="70"/>
        <v>0</v>
      </c>
      <c r="G152" s="49">
        <f t="shared" ca="1" si="70"/>
        <v>0</v>
      </c>
      <c r="H152" s="49">
        <f t="shared" ca="1" si="70"/>
        <v>0</v>
      </c>
      <c r="I152" s="49">
        <f t="shared" ca="1" si="70"/>
        <v>0</v>
      </c>
      <c r="J152" s="49">
        <f t="shared" ca="1" si="70"/>
        <v>0</v>
      </c>
      <c r="K152" s="49">
        <f t="shared" ca="1" si="70"/>
        <v>0</v>
      </c>
      <c r="L152" s="49">
        <f t="shared" ca="1" si="70"/>
        <v>0</v>
      </c>
      <c r="M152" s="49">
        <f t="shared" ca="1" si="70"/>
        <v>0</v>
      </c>
      <c r="N152" s="49">
        <f t="shared" ca="1" si="70"/>
        <v>0</v>
      </c>
      <c r="O152" s="49">
        <f t="shared" ca="1" si="70"/>
        <v>0</v>
      </c>
      <c r="P152" s="49">
        <f t="shared" ca="1" si="70"/>
        <v>0</v>
      </c>
      <c r="Q152" s="49">
        <f t="shared" ca="1" si="70"/>
        <v>0</v>
      </c>
      <c r="R152" s="49">
        <f t="shared" ca="1" si="70"/>
        <v>0</v>
      </c>
      <c r="S152" s="49">
        <f t="shared" ca="1" si="70"/>
        <v>0</v>
      </c>
      <c r="T152" s="49">
        <f t="shared" ca="1" si="70"/>
        <v>0</v>
      </c>
      <c r="U152" s="49">
        <f t="shared" ca="1" si="70"/>
        <v>0</v>
      </c>
      <c r="V152" s="49">
        <f t="shared" ca="1" si="70"/>
        <v>0</v>
      </c>
      <c r="W152" s="49">
        <f t="shared" ca="1" si="70"/>
        <v>0</v>
      </c>
      <c r="X152" s="49">
        <f t="shared" ca="1" si="70"/>
        <v>0</v>
      </c>
      <c r="Y152" s="49">
        <f t="shared" ca="1" si="70"/>
        <v>0</v>
      </c>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row>
    <row r="153" spans="4:79">
      <c r="E153" s="49"/>
      <c r="F153" s="49"/>
      <c r="G153" s="49"/>
      <c r="H153" s="49"/>
      <c r="I153" s="49"/>
      <c r="J153" s="49"/>
      <c r="K153" s="49"/>
      <c r="L153" s="49"/>
      <c r="M153" s="49"/>
      <c r="N153" s="49"/>
      <c r="O153" s="49"/>
      <c r="P153" s="49"/>
      <c r="Q153" s="49"/>
      <c r="R153" s="49"/>
      <c r="S153" s="49"/>
      <c r="T153" s="49"/>
      <c r="U153" s="49"/>
      <c r="V153" s="49"/>
      <c r="W153" s="49"/>
      <c r="X153" s="49"/>
      <c r="Y153" s="49"/>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row>
    <row r="154" spans="4:79" ht="15">
      <c r="D154" s="63" t="s">
        <v>144</v>
      </c>
      <c r="E154" s="64">
        <f t="shared" ref="E154:X154" ca="1" si="71">SUM(E121:E152)</f>
        <v>10.461727763948119</v>
      </c>
      <c r="F154" s="64">
        <f t="shared" ca="1" si="71"/>
        <v>10.606772925036143</v>
      </c>
      <c r="G154" s="64">
        <f t="shared" ca="1" si="71"/>
        <v>10.737376355034925</v>
      </c>
      <c r="H154" s="64">
        <f t="shared" ca="1" si="71"/>
        <v>10.853622943077907</v>
      </c>
      <c r="I154" s="64">
        <f t="shared" ca="1" si="71"/>
        <v>10.956952481301784</v>
      </c>
      <c r="J154" s="64">
        <f t="shared" ca="1" si="71"/>
        <v>9.9426630102608531</v>
      </c>
      <c r="K154" s="64">
        <f t="shared" ca="1" si="71"/>
        <v>8.0107042257690217</v>
      </c>
      <c r="L154" s="64">
        <f t="shared" ca="1" si="71"/>
        <v>6.4494580402506561</v>
      </c>
      <c r="M154" s="64">
        <f t="shared" ca="1" si="71"/>
        <v>5.1905067022441154</v>
      </c>
      <c r="N154" s="64">
        <f t="shared" ca="1" si="71"/>
        <v>4.1759425219497341</v>
      </c>
      <c r="O154" s="64">
        <f t="shared" ca="1" si="71"/>
        <v>3.359353703671752</v>
      </c>
      <c r="P154" s="64">
        <f t="shared" ca="1" si="71"/>
        <v>2.7019710338266063</v>
      </c>
      <c r="Q154" s="64">
        <f t="shared" ca="1" si="71"/>
        <v>2.1727047898177565</v>
      </c>
      <c r="R154" s="64">
        <f t="shared" ca="1" si="71"/>
        <v>1.7466379687308491</v>
      </c>
      <c r="S154" s="64">
        <f t="shared" ca="1" si="71"/>
        <v>1.4039457677269647</v>
      </c>
      <c r="T154" s="64">
        <f t="shared" ca="1" si="71"/>
        <v>1.1284246557762654</v>
      </c>
      <c r="U154" s="64">
        <f t="shared" ca="1" si="71"/>
        <v>7.7317599235525144E-3</v>
      </c>
      <c r="V154" s="64">
        <f t="shared" ca="1" si="71"/>
        <v>2.7733584992660305E-3</v>
      </c>
      <c r="W154" s="64">
        <f t="shared" ca="1" si="71"/>
        <v>9.4953404182574592E-4</v>
      </c>
      <c r="X154" s="64">
        <f t="shared" ca="1" si="71"/>
        <v>3.1095475943330395E-4</v>
      </c>
      <c r="Y154" s="6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row>
    <row r="155" spans="4:79" ht="15">
      <c r="D155" s="63" t="s">
        <v>145</v>
      </c>
      <c r="E155" s="64">
        <f ca="1">E154</f>
        <v>10.461727763948119</v>
      </c>
      <c r="F155" s="64">
        <f t="shared" ref="F155:X155" ca="1" si="72">E155+F154</f>
        <v>21.068500688984262</v>
      </c>
      <c r="G155" s="64">
        <f t="shared" ca="1" si="72"/>
        <v>31.805877044019187</v>
      </c>
      <c r="H155" s="64">
        <f t="shared" ca="1" si="72"/>
        <v>42.659499987097092</v>
      </c>
      <c r="I155" s="64">
        <f t="shared" ca="1" si="72"/>
        <v>53.616452468398876</v>
      </c>
      <c r="J155" s="64">
        <f t="shared" ca="1" si="72"/>
        <v>63.559115478659727</v>
      </c>
      <c r="K155" s="64">
        <f t="shared" ca="1" si="72"/>
        <v>71.569819704428753</v>
      </c>
      <c r="L155" s="64">
        <f t="shared" ca="1" si="72"/>
        <v>78.019277744679414</v>
      </c>
      <c r="M155" s="64">
        <f t="shared" ca="1" si="72"/>
        <v>83.209784446923535</v>
      </c>
      <c r="N155" s="64">
        <f t="shared" ca="1" si="72"/>
        <v>87.385726968873271</v>
      </c>
      <c r="O155" s="64">
        <f t="shared" ca="1" si="72"/>
        <v>90.745080672545029</v>
      </c>
      <c r="P155" s="64">
        <f t="shared" ca="1" si="72"/>
        <v>93.447051706371639</v>
      </c>
      <c r="Q155" s="64">
        <f t="shared" ca="1" si="72"/>
        <v>95.619756496189396</v>
      </c>
      <c r="R155" s="64">
        <f t="shared" ca="1" si="72"/>
        <v>97.366394464920248</v>
      </c>
      <c r="S155" s="64">
        <f t="shared" ca="1" si="72"/>
        <v>98.770340232647214</v>
      </c>
      <c r="T155" s="64">
        <f t="shared" ca="1" si="72"/>
        <v>99.898764888423486</v>
      </c>
      <c r="U155" s="64">
        <f t="shared" ca="1" si="72"/>
        <v>99.906496648347044</v>
      </c>
      <c r="V155" s="64">
        <f t="shared" ca="1" si="72"/>
        <v>99.909270006846313</v>
      </c>
      <c r="W155" s="64">
        <f t="shared" ca="1" si="72"/>
        <v>99.910219540888136</v>
      </c>
      <c r="X155" s="64">
        <f t="shared" ca="1" si="72"/>
        <v>99.910530495647563</v>
      </c>
      <c r="Y155" s="64">
        <f ca="1">SUM(Y121:Y152)</f>
        <v>108.64035927760769</v>
      </c>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row>
    <row r="156" spans="4:79">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row>
    <row r="157" spans="4:79">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row>
    <row r="158" spans="4:79" customFormat="1"/>
    <row r="159" spans="4:79" customFormat="1"/>
    <row r="160" spans="4:79" customFormat="1"/>
    <row r="161" customFormat="1"/>
    <row r="162" customFormat="1"/>
    <row r="163" customFormat="1"/>
    <row r="164" customFormat="1"/>
    <row r="165" customFormat="1"/>
  </sheetData>
  <mergeCells count="1">
    <mergeCell ref="B1:S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sheetPr codeName="Sheet3"/>
  <dimension ref="A4:AF53"/>
  <sheetViews>
    <sheetView workbookViewId="0">
      <selection activeCell="B8" sqref="B8"/>
    </sheetView>
  </sheetViews>
  <sheetFormatPr defaultRowHeight="12.75"/>
  <sheetData>
    <row r="4" spans="1:25">
      <c r="B4" t="s">
        <v>53</v>
      </c>
      <c r="C4" t="s">
        <v>54</v>
      </c>
      <c r="I4" t="s">
        <v>48</v>
      </c>
      <c r="K4" t="s">
        <v>56</v>
      </c>
      <c r="L4">
        <v>2006</v>
      </c>
      <c r="M4" t="s">
        <v>57</v>
      </c>
      <c r="U4" t="s">
        <v>322</v>
      </c>
      <c r="W4" t="s">
        <v>56</v>
      </c>
      <c r="X4">
        <v>1280</v>
      </c>
      <c r="Y4" t="s">
        <v>58</v>
      </c>
    </row>
    <row r="5" spans="1:25">
      <c r="A5" t="s">
        <v>48</v>
      </c>
      <c r="B5" s="39">
        <f>SFshowerhead!G2</f>
        <v>1.7774820945436154</v>
      </c>
      <c r="C5" t="s">
        <v>55</v>
      </c>
    </row>
    <row r="6" spans="1:25">
      <c r="A6" t="s">
        <v>49</v>
      </c>
      <c r="B6" s="39">
        <f>MFunit_showerheads!F2</f>
        <v>1.2545812426096488</v>
      </c>
      <c r="C6" t="s">
        <v>55</v>
      </c>
    </row>
    <row r="7" spans="1:25">
      <c r="A7" t="s">
        <v>50</v>
      </c>
      <c r="B7" s="39">
        <f>B6</f>
        <v>1.2545812426096488</v>
      </c>
      <c r="C7" t="s">
        <v>55</v>
      </c>
    </row>
    <row r="8" spans="1:25">
      <c r="A8" t="s">
        <v>51</v>
      </c>
      <c r="B8" s="39">
        <f>MHshowerhead!E2</f>
        <v>1.6479686904104249</v>
      </c>
      <c r="C8" t="s">
        <v>55</v>
      </c>
    </row>
    <row r="11" spans="1:25">
      <c r="A11" s="302" t="s">
        <v>555</v>
      </c>
      <c r="B11" s="303">
        <v>0.88</v>
      </c>
      <c r="C11" s="304" t="s">
        <v>552</v>
      </c>
      <c r="D11" s="304"/>
      <c r="E11" s="305"/>
    </row>
    <row r="12" spans="1:25">
      <c r="A12" s="306" t="s">
        <v>553</v>
      </c>
      <c r="B12" s="307">
        <v>0.12</v>
      </c>
      <c r="C12" s="308" t="s">
        <v>554</v>
      </c>
      <c r="D12" s="308"/>
      <c r="E12" s="309"/>
    </row>
    <row r="29" spans="16:17">
      <c r="P29" t="s">
        <v>323</v>
      </c>
      <c r="Q29" s="234">
        <f>16.3%+32.1%</f>
        <v>0.48399999999999999</v>
      </c>
    </row>
    <row r="34" spans="9:32">
      <c r="I34" t="s">
        <v>174</v>
      </c>
      <c r="K34" t="s">
        <v>56</v>
      </c>
      <c r="L34">
        <v>766</v>
      </c>
      <c r="M34" t="s">
        <v>58</v>
      </c>
      <c r="AD34" t="s">
        <v>323</v>
      </c>
      <c r="AF34" s="234">
        <f>11.8%+30.6%</f>
        <v>0.42399999999999999</v>
      </c>
    </row>
    <row r="53" spans="11:13">
      <c r="K53" t="s">
        <v>323</v>
      </c>
      <c r="M53" s="234">
        <f>25.1%+40.4%</f>
        <v>0.65500000000000003</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dimension ref="A1:I13"/>
  <sheetViews>
    <sheetView workbookViewId="0">
      <selection activeCell="I14" sqref="I14"/>
    </sheetView>
  </sheetViews>
  <sheetFormatPr defaultRowHeight="12.75"/>
  <cols>
    <col min="1" max="1" width="11.42578125" bestFit="1" customWidth="1"/>
    <col min="2" max="2" width="10.140625" bestFit="1" customWidth="1"/>
    <col min="3" max="3" width="10.42578125" bestFit="1" customWidth="1"/>
    <col min="4" max="4" width="16.85546875" bestFit="1" customWidth="1"/>
    <col min="5" max="5" width="25.140625" bestFit="1" customWidth="1"/>
    <col min="6" max="6" width="13.85546875" bestFit="1" customWidth="1"/>
    <col min="7" max="7" width="19.85546875" bestFit="1" customWidth="1"/>
  </cols>
  <sheetData>
    <row r="1" spans="1:9">
      <c r="A1" t="s">
        <v>542</v>
      </c>
    </row>
    <row r="2" spans="1:9" ht="15">
      <c r="A2" s="318" t="s">
        <v>540</v>
      </c>
      <c r="B2" s="319" t="s">
        <v>626</v>
      </c>
      <c r="C2" s="319" t="s">
        <v>627</v>
      </c>
      <c r="D2" s="319" t="s">
        <v>628</v>
      </c>
      <c r="E2" s="319" t="s">
        <v>629</v>
      </c>
      <c r="F2" s="319" t="s">
        <v>630</v>
      </c>
      <c r="G2" s="320" t="s">
        <v>631</v>
      </c>
      <c r="H2" s="282"/>
    </row>
    <row r="3" spans="1:9">
      <c r="A3" s="321">
        <v>2010</v>
      </c>
      <c r="B3" s="322" t="s">
        <v>219</v>
      </c>
      <c r="C3" s="322" t="s">
        <v>632</v>
      </c>
      <c r="D3" s="322" t="s">
        <v>633</v>
      </c>
      <c r="E3" s="322" t="s">
        <v>634</v>
      </c>
      <c r="F3" s="323">
        <v>14792951.164501745</v>
      </c>
      <c r="G3" s="324">
        <v>1.6886930529037727</v>
      </c>
      <c r="H3" s="283"/>
    </row>
    <row r="4" spans="1:9">
      <c r="A4" s="325">
        <v>2011</v>
      </c>
      <c r="B4" s="326" t="s">
        <v>219</v>
      </c>
      <c r="C4" s="326" t="s">
        <v>632</v>
      </c>
      <c r="D4" s="326" t="s">
        <v>633</v>
      </c>
      <c r="E4" s="326" t="s">
        <v>634</v>
      </c>
      <c r="F4" s="327">
        <v>41114646.636458598</v>
      </c>
      <c r="G4" s="328">
        <v>4.6934528321687026</v>
      </c>
      <c r="H4" s="287"/>
    </row>
    <row r="5" spans="1:9">
      <c r="A5" s="321">
        <v>2012</v>
      </c>
      <c r="B5" s="322" t="s">
        <v>219</v>
      </c>
      <c r="C5" s="322" t="s">
        <v>632</v>
      </c>
      <c r="D5" s="322" t="s">
        <v>633</v>
      </c>
      <c r="E5" s="322" t="s">
        <v>634</v>
      </c>
      <c r="F5" s="323">
        <v>44317307.01782351</v>
      </c>
      <c r="G5" s="324">
        <v>5.0590532901306915</v>
      </c>
      <c r="H5" s="291"/>
    </row>
    <row r="6" spans="1:9">
      <c r="A6" s="325">
        <v>2013</v>
      </c>
      <c r="B6" s="326" t="s">
        <v>219</v>
      </c>
      <c r="C6" s="326" t="s">
        <v>632</v>
      </c>
      <c r="D6" s="326" t="s">
        <v>633</v>
      </c>
      <c r="E6" s="326" t="s">
        <v>634</v>
      </c>
      <c r="F6" s="327">
        <v>28464326.506993875</v>
      </c>
      <c r="G6" s="328">
        <v>3.2493523263378847</v>
      </c>
      <c r="H6" s="287"/>
    </row>
    <row r="7" spans="1:9">
      <c r="A7" s="288"/>
      <c r="B7" s="289"/>
      <c r="C7" s="289"/>
      <c r="D7" s="289"/>
      <c r="E7" s="289"/>
      <c r="F7" s="289"/>
      <c r="G7" s="290"/>
      <c r="H7" s="291"/>
    </row>
    <row r="8" spans="1:9">
      <c r="A8" s="284"/>
      <c r="B8" s="285"/>
      <c r="C8" s="285"/>
      <c r="D8" s="285"/>
      <c r="E8" s="285"/>
      <c r="F8" s="285"/>
      <c r="G8" s="286"/>
      <c r="H8" s="287"/>
    </row>
    <row r="11" spans="1:9">
      <c r="G11" t="s">
        <v>635</v>
      </c>
      <c r="H11" s="292">
        <f>G5+G6</f>
        <v>8.3084056164685762</v>
      </c>
    </row>
    <row r="13" spans="1:9">
      <c r="G13" t="s">
        <v>543</v>
      </c>
      <c r="H13">
        <f>H11/113</f>
        <v>7.3525713420075897E-2</v>
      </c>
      <c r="I13" t="s">
        <v>636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L1405"/>
  <sheetViews>
    <sheetView workbookViewId="0">
      <selection activeCell="G1" sqref="G1"/>
    </sheetView>
  </sheetViews>
  <sheetFormatPr defaultRowHeight="12.75"/>
  <cols>
    <col min="1" max="5" width="9.140625" style="77"/>
    <col min="7" max="7" width="11.42578125" bestFit="1" customWidth="1"/>
    <col min="13" max="16384" width="9.140625" style="77"/>
  </cols>
  <sheetData>
    <row r="1" spans="1:12">
      <c r="A1" s="77" t="s">
        <v>175</v>
      </c>
      <c r="B1" s="77" t="s">
        <v>176</v>
      </c>
      <c r="C1" s="77" t="s">
        <v>177</v>
      </c>
      <c r="D1" s="77" t="s">
        <v>178</v>
      </c>
      <c r="E1" s="77" t="s">
        <v>179</v>
      </c>
      <c r="F1" s="80" t="s">
        <v>195</v>
      </c>
      <c r="G1" t="s">
        <v>194</v>
      </c>
      <c r="H1" s="80"/>
      <c r="I1" s="80"/>
      <c r="J1" s="80" t="s">
        <v>176</v>
      </c>
      <c r="K1" s="80" t="s">
        <v>193</v>
      </c>
      <c r="L1" s="80" t="s">
        <v>192</v>
      </c>
    </row>
    <row r="2" spans="1:12">
      <c r="A2" s="77">
        <v>70987</v>
      </c>
      <c r="B2" s="77">
        <v>10002</v>
      </c>
      <c r="C2" s="77" t="s">
        <v>180</v>
      </c>
      <c r="D2" s="77">
        <v>2</v>
      </c>
      <c r="E2" s="77">
        <v>2</v>
      </c>
      <c r="F2" s="79">
        <f>VLOOKUP(B2,$J$2:$L$1405,3,FALSE)</f>
        <v>1524.7619999999999</v>
      </c>
      <c r="G2" s="38">
        <f>SUMPRODUCT($E$2:$E$1403,$F$2:$F$1403)/SUM($F$2:$F$1403)</f>
        <v>1.7774820945436154</v>
      </c>
      <c r="J2" s="78">
        <v>10002</v>
      </c>
      <c r="K2" s="78" t="s">
        <v>173</v>
      </c>
      <c r="L2" s="78">
        <v>1524.7619999999999</v>
      </c>
    </row>
    <row r="3" spans="1:12">
      <c r="A3" s="77">
        <v>63129</v>
      </c>
      <c r="B3" s="77">
        <v>10005</v>
      </c>
      <c r="C3" s="77" t="s">
        <v>180</v>
      </c>
      <c r="D3" s="77">
        <v>2</v>
      </c>
      <c r="E3" s="77">
        <v>2</v>
      </c>
      <c r="F3" s="79">
        <f t="shared" ref="F3:F66" si="0">VLOOKUP(B3,$J$2:$L$1405,3,FALSE)</f>
        <v>1188.027</v>
      </c>
      <c r="J3" s="78">
        <v>10005</v>
      </c>
      <c r="K3" s="78" t="s">
        <v>172</v>
      </c>
      <c r="L3" s="78">
        <v>1188.027</v>
      </c>
    </row>
    <row r="4" spans="1:12">
      <c r="A4" s="77">
        <v>677342</v>
      </c>
      <c r="B4" s="77">
        <v>10011</v>
      </c>
      <c r="C4" s="77" t="s">
        <v>180</v>
      </c>
      <c r="D4" s="77">
        <v>2.5</v>
      </c>
      <c r="E4" s="77">
        <v>1</v>
      </c>
      <c r="F4" s="79">
        <f t="shared" si="0"/>
        <v>4956.4930000000004</v>
      </c>
      <c r="J4" s="78">
        <v>10011</v>
      </c>
      <c r="K4" s="78" t="s">
        <v>173</v>
      </c>
      <c r="L4" s="78">
        <v>4956.4930000000004</v>
      </c>
    </row>
    <row r="5" spans="1:12">
      <c r="A5" s="77">
        <v>212191</v>
      </c>
      <c r="B5" s="77">
        <v>10016</v>
      </c>
      <c r="C5" s="77" t="s">
        <v>180</v>
      </c>
      <c r="D5" s="77">
        <v>3.4</v>
      </c>
      <c r="E5" s="77">
        <v>2</v>
      </c>
      <c r="F5" s="79">
        <f t="shared" si="0"/>
        <v>6932.7380000000003</v>
      </c>
      <c r="J5" s="78">
        <v>10016</v>
      </c>
      <c r="K5" s="78" t="s">
        <v>172</v>
      </c>
      <c r="L5" s="78">
        <v>6932.7380000000003</v>
      </c>
    </row>
    <row r="6" spans="1:12">
      <c r="A6" s="77">
        <v>239583</v>
      </c>
      <c r="B6" s="77">
        <v>10021</v>
      </c>
      <c r="C6" s="77" t="s">
        <v>180</v>
      </c>
      <c r="D6" s="77">
        <v>1.9</v>
      </c>
      <c r="E6" s="77">
        <v>2</v>
      </c>
      <c r="F6" s="79">
        <f t="shared" si="0"/>
        <v>1150.8789999999999</v>
      </c>
      <c r="J6" s="78">
        <v>10021</v>
      </c>
      <c r="K6" s="78" t="s">
        <v>173</v>
      </c>
      <c r="L6" s="78">
        <v>1150.8789999999999</v>
      </c>
    </row>
    <row r="7" spans="1:12">
      <c r="A7" s="77">
        <v>104345</v>
      </c>
      <c r="B7" s="77">
        <v>10030</v>
      </c>
      <c r="C7" s="77" t="s">
        <v>180</v>
      </c>
      <c r="D7" s="77">
        <v>4</v>
      </c>
      <c r="E7" s="77">
        <v>2</v>
      </c>
      <c r="F7" s="79">
        <f t="shared" si="0"/>
        <v>4956.4930000000004</v>
      </c>
      <c r="J7" s="78">
        <v>10030</v>
      </c>
      <c r="K7" s="78" t="s">
        <v>173</v>
      </c>
      <c r="L7" s="78">
        <v>4956.4930000000004</v>
      </c>
    </row>
    <row r="8" spans="1:12">
      <c r="A8" s="77">
        <v>38830</v>
      </c>
      <c r="B8" s="77">
        <v>10040</v>
      </c>
      <c r="C8" s="77" t="s">
        <v>180</v>
      </c>
      <c r="D8" s="77">
        <v>1</v>
      </c>
      <c r="E8" s="77">
        <v>2</v>
      </c>
      <c r="F8" s="79">
        <f t="shared" si="0"/>
        <v>1524.7619999999999</v>
      </c>
      <c r="J8" s="78">
        <v>10040</v>
      </c>
      <c r="K8" s="78" t="s">
        <v>173</v>
      </c>
      <c r="L8" s="78">
        <v>1524.7619999999999</v>
      </c>
    </row>
    <row r="9" spans="1:12">
      <c r="A9" s="77">
        <v>54867</v>
      </c>
      <c r="B9" s="77">
        <v>10044</v>
      </c>
      <c r="C9" s="77" t="s">
        <v>180</v>
      </c>
      <c r="D9" s="77">
        <v>1.75</v>
      </c>
      <c r="E9" s="77">
        <v>2</v>
      </c>
      <c r="F9" s="79">
        <f t="shared" si="0"/>
        <v>2003.7159999999999</v>
      </c>
      <c r="J9" s="78">
        <v>10044</v>
      </c>
      <c r="K9" s="78" t="s">
        <v>173</v>
      </c>
      <c r="L9" s="78">
        <v>2003.7159999999999</v>
      </c>
    </row>
    <row r="10" spans="1:12">
      <c r="A10" s="77">
        <v>724074</v>
      </c>
      <c r="B10" s="77">
        <v>10052</v>
      </c>
      <c r="C10" s="77" t="s">
        <v>180</v>
      </c>
      <c r="D10" s="77">
        <v>2</v>
      </c>
      <c r="E10" s="77">
        <v>2</v>
      </c>
      <c r="F10" s="79">
        <f t="shared" si="0"/>
        <v>4956.4930000000004</v>
      </c>
      <c r="J10" s="78">
        <v>10052</v>
      </c>
      <c r="K10" s="78" t="s">
        <v>173</v>
      </c>
      <c r="L10" s="78">
        <v>4956.4930000000004</v>
      </c>
    </row>
    <row r="11" spans="1:12">
      <c r="A11" s="77">
        <v>676222</v>
      </c>
      <c r="B11" s="77">
        <v>10055</v>
      </c>
      <c r="C11" s="77" t="s">
        <v>180</v>
      </c>
      <c r="D11" s="77">
        <v>2.5</v>
      </c>
      <c r="E11" s="77">
        <v>2</v>
      </c>
      <c r="F11" s="79">
        <f t="shared" si="0"/>
        <v>4956.4930000000004</v>
      </c>
      <c r="J11" s="78">
        <v>10055</v>
      </c>
      <c r="K11" s="78" t="s">
        <v>173</v>
      </c>
      <c r="L11" s="78">
        <v>4956.4930000000004</v>
      </c>
    </row>
    <row r="12" spans="1:12">
      <c r="A12" s="77">
        <v>136990</v>
      </c>
      <c r="B12" s="77">
        <v>10062</v>
      </c>
      <c r="C12" s="77" t="s">
        <v>180</v>
      </c>
      <c r="D12" s="77">
        <v>1.5</v>
      </c>
      <c r="E12" s="77">
        <v>2</v>
      </c>
      <c r="F12" s="79">
        <f t="shared" si="0"/>
        <v>4956.4930000000004</v>
      </c>
      <c r="J12" s="78">
        <v>10062</v>
      </c>
      <c r="K12" s="78" t="s">
        <v>173</v>
      </c>
      <c r="L12" s="78">
        <v>4956.4930000000004</v>
      </c>
    </row>
    <row r="13" spans="1:12">
      <c r="A13" s="77">
        <v>802596</v>
      </c>
      <c r="B13" s="77">
        <v>10068</v>
      </c>
      <c r="C13" s="77" t="s">
        <v>180</v>
      </c>
      <c r="D13" s="77">
        <v>4</v>
      </c>
      <c r="E13" s="77">
        <v>3</v>
      </c>
      <c r="F13" s="79">
        <f t="shared" si="0"/>
        <v>2003.7159999999999</v>
      </c>
      <c r="J13" s="78">
        <v>10068</v>
      </c>
      <c r="K13" s="78" t="s">
        <v>173</v>
      </c>
      <c r="L13" s="78">
        <v>2003.7159999999999</v>
      </c>
    </row>
    <row r="14" spans="1:12">
      <c r="A14" s="77">
        <v>84447</v>
      </c>
      <c r="B14" s="77">
        <v>10079</v>
      </c>
      <c r="C14" s="77" t="s">
        <v>180</v>
      </c>
      <c r="D14" s="77">
        <v>2.25</v>
      </c>
      <c r="E14" s="77">
        <v>1</v>
      </c>
      <c r="F14" s="79">
        <f t="shared" si="0"/>
        <v>1524.7619999999999</v>
      </c>
      <c r="J14" s="78">
        <v>10079</v>
      </c>
      <c r="K14" s="78" t="s">
        <v>173</v>
      </c>
      <c r="L14" s="78">
        <v>1524.7619999999999</v>
      </c>
    </row>
    <row r="15" spans="1:12">
      <c r="A15" s="77">
        <v>720816</v>
      </c>
      <c r="B15" s="77">
        <v>10082</v>
      </c>
      <c r="C15" s="77" t="s">
        <v>180</v>
      </c>
      <c r="D15" s="77">
        <v>2.5</v>
      </c>
      <c r="E15" s="77">
        <v>1</v>
      </c>
      <c r="F15" s="79">
        <f t="shared" si="0"/>
        <v>4956.4930000000004</v>
      </c>
      <c r="J15" s="78">
        <v>10082</v>
      </c>
      <c r="K15" s="78" t="s">
        <v>173</v>
      </c>
      <c r="L15" s="78">
        <v>4956.4930000000004</v>
      </c>
    </row>
    <row r="16" spans="1:12">
      <c r="A16" s="77">
        <v>139444</v>
      </c>
      <c r="B16" s="77">
        <v>10083</v>
      </c>
      <c r="C16" s="77" t="s">
        <v>180</v>
      </c>
      <c r="D16" s="77">
        <v>1.75</v>
      </c>
      <c r="E16" s="77">
        <v>2</v>
      </c>
      <c r="F16" s="79">
        <f t="shared" si="0"/>
        <v>4956.4930000000004</v>
      </c>
      <c r="J16" s="78">
        <v>10083</v>
      </c>
      <c r="K16" s="78" t="s">
        <v>173</v>
      </c>
      <c r="L16" s="78">
        <v>4956.4930000000004</v>
      </c>
    </row>
    <row r="17" spans="1:12">
      <c r="A17" s="77">
        <v>121054</v>
      </c>
      <c r="B17" s="77">
        <v>10087</v>
      </c>
      <c r="C17" s="77" t="s">
        <v>180</v>
      </c>
      <c r="D17" s="77">
        <v>2</v>
      </c>
      <c r="E17" s="77">
        <v>1</v>
      </c>
      <c r="F17" s="79">
        <f t="shared" si="0"/>
        <v>1464.694</v>
      </c>
      <c r="J17" s="78">
        <v>10087</v>
      </c>
      <c r="K17" s="78" t="s">
        <v>173</v>
      </c>
      <c r="L17" s="78">
        <v>1464.694</v>
      </c>
    </row>
    <row r="18" spans="1:12">
      <c r="A18" s="77">
        <v>43987</v>
      </c>
      <c r="B18" s="77">
        <v>10096</v>
      </c>
      <c r="C18" s="77" t="s">
        <v>180</v>
      </c>
      <c r="D18" s="77">
        <v>2</v>
      </c>
      <c r="E18" s="77">
        <v>1</v>
      </c>
      <c r="F18" s="79">
        <f t="shared" si="0"/>
        <v>1188.027</v>
      </c>
      <c r="J18" s="78">
        <v>10096</v>
      </c>
      <c r="K18" s="78" t="s">
        <v>172</v>
      </c>
      <c r="L18" s="78">
        <v>1188.027</v>
      </c>
    </row>
    <row r="19" spans="1:12">
      <c r="A19" s="77">
        <v>108555</v>
      </c>
      <c r="B19" s="77">
        <v>10100</v>
      </c>
      <c r="C19" s="77" t="s">
        <v>180</v>
      </c>
      <c r="D19" s="77">
        <v>1.5</v>
      </c>
      <c r="E19" s="77">
        <v>1</v>
      </c>
      <c r="F19" s="79">
        <f t="shared" si="0"/>
        <v>1464.694</v>
      </c>
      <c r="J19" s="78">
        <v>10100</v>
      </c>
      <c r="K19" s="78" t="s">
        <v>173</v>
      </c>
      <c r="L19" s="78">
        <v>1464.694</v>
      </c>
    </row>
    <row r="20" spans="1:12">
      <c r="A20" s="77">
        <v>116647</v>
      </c>
      <c r="B20" s="77">
        <v>10134</v>
      </c>
      <c r="C20" s="77" t="s">
        <v>180</v>
      </c>
      <c r="D20" s="77">
        <v>2</v>
      </c>
      <c r="E20" s="77">
        <v>2</v>
      </c>
      <c r="F20" s="79">
        <f t="shared" si="0"/>
        <v>1464.694</v>
      </c>
      <c r="J20" s="78">
        <v>10134</v>
      </c>
      <c r="K20" s="78" t="s">
        <v>173</v>
      </c>
      <c r="L20" s="78">
        <v>1464.694</v>
      </c>
    </row>
    <row r="21" spans="1:12">
      <c r="A21" s="77">
        <v>114752</v>
      </c>
      <c r="B21" s="77">
        <v>10141</v>
      </c>
      <c r="C21" s="77" t="s">
        <v>180</v>
      </c>
      <c r="D21" s="77">
        <v>2.25</v>
      </c>
      <c r="E21" s="77">
        <v>2</v>
      </c>
      <c r="F21" s="79">
        <f t="shared" si="0"/>
        <v>4956.4930000000004</v>
      </c>
      <c r="J21" s="78">
        <v>10141</v>
      </c>
      <c r="K21" s="78" t="s">
        <v>173</v>
      </c>
      <c r="L21" s="78">
        <v>4956.4930000000004</v>
      </c>
    </row>
    <row r="22" spans="1:12">
      <c r="A22" s="77">
        <v>87206</v>
      </c>
      <c r="B22" s="77">
        <v>10144</v>
      </c>
      <c r="C22" s="77" t="s">
        <v>180</v>
      </c>
      <c r="D22" s="77">
        <v>2.25</v>
      </c>
      <c r="E22" s="77">
        <v>2</v>
      </c>
      <c r="F22" s="79">
        <f t="shared" si="0"/>
        <v>2003.7159999999999</v>
      </c>
      <c r="J22" s="78">
        <v>10144</v>
      </c>
      <c r="K22" s="78" t="s">
        <v>173</v>
      </c>
      <c r="L22" s="78">
        <v>2003.7159999999999</v>
      </c>
    </row>
    <row r="23" spans="1:12">
      <c r="A23" s="77">
        <v>37983</v>
      </c>
      <c r="B23" s="77">
        <v>10150</v>
      </c>
      <c r="C23" s="77" t="s">
        <v>180</v>
      </c>
      <c r="D23" s="77">
        <v>2</v>
      </c>
      <c r="E23" s="77">
        <v>1</v>
      </c>
      <c r="F23" s="79">
        <f t="shared" si="0"/>
        <v>1188.027</v>
      </c>
      <c r="J23" s="78">
        <v>10150</v>
      </c>
      <c r="K23" s="78" t="s">
        <v>172</v>
      </c>
      <c r="L23" s="78">
        <v>1188.027</v>
      </c>
    </row>
    <row r="24" spans="1:12">
      <c r="A24" s="77">
        <v>27947</v>
      </c>
      <c r="B24" s="77">
        <v>10172</v>
      </c>
      <c r="C24" s="77" t="s">
        <v>180</v>
      </c>
      <c r="D24" s="77">
        <v>2</v>
      </c>
      <c r="E24" s="77">
        <v>1</v>
      </c>
      <c r="F24" s="79">
        <f t="shared" si="0"/>
        <v>1524.7619999999999</v>
      </c>
      <c r="J24" s="78">
        <v>10172</v>
      </c>
      <c r="K24" s="78" t="s">
        <v>173</v>
      </c>
      <c r="L24" s="78">
        <v>1524.7619999999999</v>
      </c>
    </row>
    <row r="25" spans="1:12">
      <c r="A25" s="77">
        <v>96234</v>
      </c>
      <c r="B25" s="77">
        <v>10174</v>
      </c>
      <c r="C25" s="77" t="s">
        <v>180</v>
      </c>
      <c r="D25" s="77">
        <v>2</v>
      </c>
      <c r="E25" s="77">
        <v>2</v>
      </c>
      <c r="F25" s="79">
        <f t="shared" si="0"/>
        <v>4956.4930000000004</v>
      </c>
      <c r="J25" s="78">
        <v>10174</v>
      </c>
      <c r="K25" s="78" t="s">
        <v>173</v>
      </c>
      <c r="L25" s="78">
        <v>4956.4930000000004</v>
      </c>
    </row>
    <row r="26" spans="1:12">
      <c r="A26" s="77">
        <v>26786</v>
      </c>
      <c r="B26" s="77">
        <v>10176</v>
      </c>
      <c r="C26" s="77" t="s">
        <v>180</v>
      </c>
      <c r="D26" s="77">
        <v>2</v>
      </c>
      <c r="E26" s="77">
        <v>1</v>
      </c>
      <c r="F26" s="79">
        <f t="shared" si="0"/>
        <v>1150.8789999999999</v>
      </c>
      <c r="J26" s="78">
        <v>10176</v>
      </c>
      <c r="K26" s="78" t="s">
        <v>173</v>
      </c>
      <c r="L26" s="78">
        <v>1150.8789999999999</v>
      </c>
    </row>
    <row r="27" spans="1:12">
      <c r="A27" s="77">
        <v>154392</v>
      </c>
      <c r="B27" s="77">
        <v>10178</v>
      </c>
      <c r="C27" s="77" t="s">
        <v>180</v>
      </c>
      <c r="D27" s="77">
        <v>3</v>
      </c>
      <c r="E27" s="77">
        <v>1</v>
      </c>
      <c r="F27" s="79">
        <f t="shared" si="0"/>
        <v>6932.7380000000003</v>
      </c>
      <c r="J27" s="78">
        <v>10178</v>
      </c>
      <c r="K27" s="78" t="s">
        <v>172</v>
      </c>
      <c r="L27" s="78">
        <v>6932.7380000000003</v>
      </c>
    </row>
    <row r="28" spans="1:12">
      <c r="A28" s="77">
        <v>27477</v>
      </c>
      <c r="B28" s="77">
        <v>10186</v>
      </c>
      <c r="C28" s="77" t="s">
        <v>180</v>
      </c>
      <c r="D28" s="77">
        <v>1.75</v>
      </c>
      <c r="E28" s="77">
        <v>2</v>
      </c>
      <c r="F28" s="79">
        <f t="shared" si="0"/>
        <v>1524.7619999999999</v>
      </c>
      <c r="J28" s="78">
        <v>10186</v>
      </c>
      <c r="K28" s="78" t="s">
        <v>173</v>
      </c>
      <c r="L28" s="78">
        <v>1524.7619999999999</v>
      </c>
    </row>
    <row r="29" spans="1:12">
      <c r="A29" s="77">
        <v>29773</v>
      </c>
      <c r="B29" s="77">
        <v>10191</v>
      </c>
      <c r="C29" s="77" t="s">
        <v>180</v>
      </c>
      <c r="D29" s="77">
        <v>2</v>
      </c>
      <c r="E29" s="77">
        <v>1</v>
      </c>
      <c r="F29" s="79">
        <f t="shared" si="0"/>
        <v>1524.7619999999999</v>
      </c>
      <c r="J29" s="78">
        <v>10191</v>
      </c>
      <c r="K29" s="78" t="s">
        <v>173</v>
      </c>
      <c r="L29" s="78">
        <v>1524.7619999999999</v>
      </c>
    </row>
    <row r="30" spans="1:12">
      <c r="A30" s="77">
        <v>63489</v>
      </c>
      <c r="B30" s="77">
        <v>10192</v>
      </c>
      <c r="C30" s="77" t="s">
        <v>180</v>
      </c>
      <c r="D30" s="77">
        <v>1.5</v>
      </c>
      <c r="E30" s="77">
        <v>1</v>
      </c>
      <c r="F30" s="79">
        <f t="shared" si="0"/>
        <v>1524.7619999999999</v>
      </c>
      <c r="J30" s="78">
        <v>10192</v>
      </c>
      <c r="K30" s="78" t="s">
        <v>173</v>
      </c>
      <c r="L30" s="78">
        <v>1524.7619999999999</v>
      </c>
    </row>
    <row r="31" spans="1:12">
      <c r="A31" s="77">
        <v>74116</v>
      </c>
      <c r="B31" s="77">
        <v>10211</v>
      </c>
      <c r="C31" s="77" t="s">
        <v>180</v>
      </c>
      <c r="D31" s="77">
        <v>1</v>
      </c>
      <c r="E31" s="77">
        <v>1</v>
      </c>
      <c r="F31" s="79">
        <f t="shared" si="0"/>
        <v>1524.7619999999999</v>
      </c>
      <c r="J31" s="78">
        <v>10211</v>
      </c>
      <c r="K31" s="78" t="s">
        <v>173</v>
      </c>
      <c r="L31" s="78">
        <v>1524.7619999999999</v>
      </c>
    </row>
    <row r="32" spans="1:12">
      <c r="A32" s="77">
        <v>90727</v>
      </c>
      <c r="B32" s="77">
        <v>10229</v>
      </c>
      <c r="C32" s="77" t="s">
        <v>180</v>
      </c>
      <c r="D32" s="77">
        <v>3</v>
      </c>
      <c r="E32" s="77">
        <v>3</v>
      </c>
      <c r="F32" s="79">
        <f t="shared" si="0"/>
        <v>4956.4930000000004</v>
      </c>
      <c r="J32" s="78">
        <v>10229</v>
      </c>
      <c r="K32" s="78" t="s">
        <v>173</v>
      </c>
      <c r="L32" s="78">
        <v>4956.4930000000004</v>
      </c>
    </row>
    <row r="33" spans="1:12">
      <c r="A33" s="77">
        <v>134765</v>
      </c>
      <c r="B33" s="77">
        <v>10230</v>
      </c>
      <c r="C33" s="77" t="s">
        <v>180</v>
      </c>
      <c r="D33" s="77">
        <v>1.5</v>
      </c>
      <c r="E33" s="77">
        <v>2</v>
      </c>
      <c r="F33" s="79">
        <f t="shared" si="0"/>
        <v>1464.694</v>
      </c>
      <c r="J33" s="78">
        <v>10230</v>
      </c>
      <c r="K33" s="78" t="s">
        <v>173</v>
      </c>
      <c r="L33" s="78">
        <v>1464.694</v>
      </c>
    </row>
    <row r="34" spans="1:12">
      <c r="A34" s="77">
        <v>34546</v>
      </c>
      <c r="B34" s="77">
        <v>10231</v>
      </c>
      <c r="C34" s="77" t="s">
        <v>180</v>
      </c>
      <c r="D34" s="77">
        <v>2</v>
      </c>
      <c r="E34" s="77">
        <v>2</v>
      </c>
      <c r="F34" s="79">
        <f t="shared" si="0"/>
        <v>1524.7619999999999</v>
      </c>
      <c r="J34" s="78">
        <v>10231</v>
      </c>
      <c r="K34" s="78" t="s">
        <v>173</v>
      </c>
      <c r="L34" s="78">
        <v>1524.7619999999999</v>
      </c>
    </row>
    <row r="35" spans="1:12">
      <c r="A35" s="77">
        <v>77960</v>
      </c>
      <c r="B35" s="77">
        <v>10235</v>
      </c>
      <c r="C35" s="77" t="s">
        <v>180</v>
      </c>
      <c r="D35" s="77">
        <v>1.75</v>
      </c>
      <c r="E35" s="77">
        <v>2</v>
      </c>
      <c r="F35" s="79">
        <f t="shared" si="0"/>
        <v>2003.7159999999999</v>
      </c>
      <c r="J35" s="78">
        <v>10235</v>
      </c>
      <c r="K35" s="78" t="s">
        <v>173</v>
      </c>
      <c r="L35" s="78">
        <v>2003.7159999999999</v>
      </c>
    </row>
    <row r="36" spans="1:12">
      <c r="A36" s="77">
        <v>209484</v>
      </c>
      <c r="B36" s="77">
        <v>10244</v>
      </c>
      <c r="C36" s="77" t="s">
        <v>180</v>
      </c>
      <c r="D36" s="77">
        <v>2.2000000000000002</v>
      </c>
      <c r="E36" s="77">
        <v>2</v>
      </c>
      <c r="F36" s="79">
        <f t="shared" si="0"/>
        <v>6932.7380000000003</v>
      </c>
      <c r="J36" s="78">
        <v>10244</v>
      </c>
      <c r="K36" s="78" t="s">
        <v>172</v>
      </c>
      <c r="L36" s="78">
        <v>6932.7380000000003</v>
      </c>
    </row>
    <row r="37" spans="1:12">
      <c r="A37" s="77">
        <v>168483</v>
      </c>
      <c r="B37" s="77">
        <v>10245</v>
      </c>
      <c r="C37" s="77" t="s">
        <v>180</v>
      </c>
      <c r="D37" s="77">
        <v>2</v>
      </c>
      <c r="E37" s="77">
        <v>3</v>
      </c>
      <c r="F37" s="79">
        <f t="shared" si="0"/>
        <v>6932.7380000000003</v>
      </c>
      <c r="J37" s="78">
        <v>10245</v>
      </c>
      <c r="K37" s="78" t="s">
        <v>172</v>
      </c>
      <c r="L37" s="78">
        <v>6932.7380000000003</v>
      </c>
    </row>
    <row r="38" spans="1:12">
      <c r="A38" s="77">
        <v>53543</v>
      </c>
      <c r="B38" s="77">
        <v>10254</v>
      </c>
      <c r="C38" s="77" t="s">
        <v>180</v>
      </c>
      <c r="D38" s="77">
        <v>2</v>
      </c>
      <c r="E38" s="77">
        <v>4</v>
      </c>
      <c r="F38" s="79">
        <f t="shared" si="0"/>
        <v>1188.027</v>
      </c>
      <c r="J38" s="78">
        <v>10254</v>
      </c>
      <c r="K38" s="78" t="s">
        <v>172</v>
      </c>
      <c r="L38" s="78">
        <v>1188.027</v>
      </c>
    </row>
    <row r="39" spans="1:12">
      <c r="A39" s="77">
        <v>241402</v>
      </c>
      <c r="B39" s="77">
        <v>10259</v>
      </c>
      <c r="C39" s="77" t="s">
        <v>180</v>
      </c>
      <c r="D39" s="77">
        <v>1.75</v>
      </c>
      <c r="E39" s="77">
        <v>1</v>
      </c>
      <c r="F39" s="79">
        <f t="shared" si="0"/>
        <v>1524.7619999999999</v>
      </c>
      <c r="J39" s="78">
        <v>10259</v>
      </c>
      <c r="K39" s="78" t="s">
        <v>173</v>
      </c>
      <c r="L39" s="78">
        <v>1524.7619999999999</v>
      </c>
    </row>
    <row r="40" spans="1:12">
      <c r="A40" s="77">
        <v>69775</v>
      </c>
      <c r="B40" s="77">
        <v>10265</v>
      </c>
      <c r="C40" s="77" t="s">
        <v>180</v>
      </c>
      <c r="D40" s="77">
        <v>2.25</v>
      </c>
      <c r="E40" s="77">
        <v>1</v>
      </c>
      <c r="F40" s="79">
        <f t="shared" si="0"/>
        <v>2003.7159999999999</v>
      </c>
      <c r="J40" s="78">
        <v>10265</v>
      </c>
      <c r="K40" s="78" t="s">
        <v>173</v>
      </c>
      <c r="L40" s="78">
        <v>2003.7159999999999</v>
      </c>
    </row>
    <row r="41" spans="1:12">
      <c r="A41" s="77">
        <v>209595</v>
      </c>
      <c r="B41" s="77">
        <v>10268</v>
      </c>
      <c r="C41" s="77" t="s">
        <v>180</v>
      </c>
      <c r="D41" s="77">
        <v>2.5</v>
      </c>
      <c r="E41" s="77">
        <v>2</v>
      </c>
      <c r="F41" s="79">
        <f t="shared" si="0"/>
        <v>1464.694</v>
      </c>
      <c r="J41" s="78">
        <v>10268</v>
      </c>
      <c r="K41" s="78" t="s">
        <v>173</v>
      </c>
      <c r="L41" s="78">
        <v>1464.694</v>
      </c>
    </row>
    <row r="42" spans="1:12">
      <c r="A42" s="77">
        <v>240138</v>
      </c>
      <c r="B42" s="77">
        <v>10282</v>
      </c>
      <c r="C42" s="77" t="s">
        <v>180</v>
      </c>
      <c r="D42" s="77">
        <v>2</v>
      </c>
      <c r="E42" s="77">
        <v>1</v>
      </c>
      <c r="F42" s="79">
        <f t="shared" si="0"/>
        <v>1150.8789999999999</v>
      </c>
      <c r="J42" s="78">
        <v>10282</v>
      </c>
      <c r="K42" s="78" t="s">
        <v>173</v>
      </c>
      <c r="L42" s="78">
        <v>1150.8789999999999</v>
      </c>
    </row>
    <row r="43" spans="1:12">
      <c r="A43" s="77">
        <v>30141</v>
      </c>
      <c r="B43" s="77">
        <v>10288</v>
      </c>
      <c r="C43" s="77" t="s">
        <v>180</v>
      </c>
      <c r="D43" s="77">
        <v>2.5</v>
      </c>
      <c r="E43" s="77">
        <v>2</v>
      </c>
      <c r="F43" s="79">
        <f t="shared" si="0"/>
        <v>1524.7619999999999</v>
      </c>
      <c r="J43" s="78">
        <v>10288</v>
      </c>
      <c r="K43" s="78" t="s">
        <v>173</v>
      </c>
      <c r="L43" s="78">
        <v>1524.7619999999999</v>
      </c>
    </row>
    <row r="44" spans="1:12">
      <c r="A44" s="77">
        <v>34423</v>
      </c>
      <c r="B44" s="77">
        <v>10289</v>
      </c>
      <c r="C44" s="77" t="s">
        <v>180</v>
      </c>
      <c r="D44" s="77">
        <v>1.75</v>
      </c>
      <c r="E44" s="77">
        <v>1</v>
      </c>
      <c r="F44" s="79">
        <f t="shared" si="0"/>
        <v>1524.7619999999999</v>
      </c>
      <c r="J44" s="78">
        <v>10289</v>
      </c>
      <c r="K44" s="78" t="s">
        <v>173</v>
      </c>
      <c r="L44" s="78">
        <v>1524.7619999999999</v>
      </c>
    </row>
    <row r="45" spans="1:12">
      <c r="A45" s="77">
        <v>93289</v>
      </c>
      <c r="B45" s="77">
        <v>10292</v>
      </c>
      <c r="C45" s="77" t="s">
        <v>180</v>
      </c>
      <c r="D45" s="77">
        <v>1.5</v>
      </c>
      <c r="E45" s="77">
        <v>2</v>
      </c>
      <c r="F45" s="79">
        <f t="shared" si="0"/>
        <v>4956.4930000000004</v>
      </c>
      <c r="J45" s="78">
        <v>10292</v>
      </c>
      <c r="K45" s="78" t="s">
        <v>173</v>
      </c>
      <c r="L45" s="78">
        <v>4956.4930000000004</v>
      </c>
    </row>
    <row r="46" spans="1:12">
      <c r="A46" s="77">
        <v>36104</v>
      </c>
      <c r="B46" s="77">
        <v>10298</v>
      </c>
      <c r="C46" s="77" t="s">
        <v>180</v>
      </c>
      <c r="D46" s="77">
        <v>4</v>
      </c>
      <c r="E46" s="77">
        <v>2</v>
      </c>
      <c r="F46" s="79">
        <f t="shared" si="0"/>
        <v>1524.7619999999999</v>
      </c>
      <c r="J46" s="78">
        <v>10298</v>
      </c>
      <c r="K46" s="78" t="s">
        <v>173</v>
      </c>
      <c r="L46" s="78">
        <v>1524.7619999999999</v>
      </c>
    </row>
    <row r="47" spans="1:12">
      <c r="A47" s="77">
        <v>61958</v>
      </c>
      <c r="B47" s="77">
        <v>10299</v>
      </c>
      <c r="C47" s="77" t="s">
        <v>180</v>
      </c>
      <c r="D47" s="77">
        <v>3</v>
      </c>
      <c r="E47" s="77">
        <v>3</v>
      </c>
      <c r="F47" s="79">
        <f t="shared" si="0"/>
        <v>2003.7159999999999</v>
      </c>
      <c r="J47" s="78">
        <v>10299</v>
      </c>
      <c r="K47" s="78" t="s">
        <v>173</v>
      </c>
      <c r="L47" s="78">
        <v>2003.7159999999999</v>
      </c>
    </row>
    <row r="48" spans="1:12">
      <c r="A48" s="77">
        <v>103188</v>
      </c>
      <c r="B48" s="77">
        <v>10305</v>
      </c>
      <c r="C48" s="77" t="s">
        <v>180</v>
      </c>
      <c r="D48" s="77">
        <v>1.5</v>
      </c>
      <c r="E48" s="77">
        <v>4</v>
      </c>
      <c r="F48" s="79">
        <f t="shared" si="0"/>
        <v>2003.7159999999999</v>
      </c>
      <c r="J48" s="78">
        <v>10305</v>
      </c>
      <c r="K48" s="78" t="s">
        <v>173</v>
      </c>
      <c r="L48" s="78">
        <v>2003.7159999999999</v>
      </c>
    </row>
    <row r="49" spans="1:12">
      <c r="A49" s="77">
        <v>181460</v>
      </c>
      <c r="B49" s="77">
        <v>10306</v>
      </c>
      <c r="C49" s="77" t="s">
        <v>180</v>
      </c>
      <c r="D49" s="77">
        <v>2.25</v>
      </c>
      <c r="E49" s="77">
        <v>2</v>
      </c>
      <c r="F49" s="79">
        <f t="shared" si="0"/>
        <v>4956.4930000000004</v>
      </c>
      <c r="J49" s="78">
        <v>10306</v>
      </c>
      <c r="K49" s="78" t="s">
        <v>173</v>
      </c>
      <c r="L49" s="78">
        <v>4956.4930000000004</v>
      </c>
    </row>
    <row r="50" spans="1:12">
      <c r="A50" s="77">
        <v>136006</v>
      </c>
      <c r="B50" s="77">
        <v>10309</v>
      </c>
      <c r="C50" s="77" t="s">
        <v>180</v>
      </c>
      <c r="D50" s="77">
        <v>1.75</v>
      </c>
      <c r="E50" s="77">
        <v>2</v>
      </c>
      <c r="F50" s="79">
        <f t="shared" si="0"/>
        <v>6932.7380000000003</v>
      </c>
      <c r="J50" s="78">
        <v>10309</v>
      </c>
      <c r="K50" s="78" t="s">
        <v>172</v>
      </c>
      <c r="L50" s="78">
        <v>6932.7380000000003</v>
      </c>
    </row>
    <row r="51" spans="1:12">
      <c r="A51" s="77">
        <v>672193</v>
      </c>
      <c r="B51" s="77">
        <v>10313</v>
      </c>
      <c r="C51" s="77" t="s">
        <v>180</v>
      </c>
      <c r="D51" s="77">
        <v>2</v>
      </c>
      <c r="E51" s="77">
        <v>1</v>
      </c>
      <c r="F51" s="79">
        <f t="shared" si="0"/>
        <v>1188.027</v>
      </c>
      <c r="J51" s="78">
        <v>10313</v>
      </c>
      <c r="K51" s="78" t="s">
        <v>172</v>
      </c>
      <c r="L51" s="78">
        <v>1188.027</v>
      </c>
    </row>
    <row r="52" spans="1:12">
      <c r="A52" s="77">
        <v>31127</v>
      </c>
      <c r="B52" s="77">
        <v>10318</v>
      </c>
      <c r="C52" s="77" t="s">
        <v>180</v>
      </c>
      <c r="D52" s="77">
        <v>1.5</v>
      </c>
      <c r="E52" s="77">
        <v>2</v>
      </c>
      <c r="F52" s="79">
        <f t="shared" si="0"/>
        <v>1524.7619999999999</v>
      </c>
      <c r="J52" s="78">
        <v>10318</v>
      </c>
      <c r="K52" s="78" t="s">
        <v>173</v>
      </c>
      <c r="L52" s="78">
        <v>1524.7619999999999</v>
      </c>
    </row>
    <row r="53" spans="1:12">
      <c r="A53" s="77">
        <v>77646</v>
      </c>
      <c r="B53" s="77">
        <v>10319</v>
      </c>
      <c r="C53" s="77" t="s">
        <v>180</v>
      </c>
      <c r="D53" s="77">
        <v>2.25</v>
      </c>
      <c r="E53" s="77">
        <v>3</v>
      </c>
      <c r="F53" s="79">
        <f t="shared" si="0"/>
        <v>2003.7159999999999</v>
      </c>
      <c r="J53" s="78">
        <v>10319</v>
      </c>
      <c r="K53" s="78" t="s">
        <v>173</v>
      </c>
      <c r="L53" s="78">
        <v>2003.7159999999999</v>
      </c>
    </row>
    <row r="54" spans="1:12">
      <c r="A54" s="77">
        <v>110702</v>
      </c>
      <c r="B54" s="77">
        <v>10322</v>
      </c>
      <c r="C54" s="77" t="s">
        <v>180</v>
      </c>
      <c r="D54" s="77">
        <v>3.4</v>
      </c>
      <c r="E54" s="77">
        <v>2</v>
      </c>
      <c r="F54" s="79">
        <f t="shared" si="0"/>
        <v>4956.4930000000004</v>
      </c>
      <c r="J54" s="78">
        <v>10322</v>
      </c>
      <c r="K54" s="78" t="s">
        <v>173</v>
      </c>
      <c r="L54" s="78">
        <v>4956.4930000000004</v>
      </c>
    </row>
    <row r="55" spans="1:12">
      <c r="A55" s="77">
        <v>124132</v>
      </c>
      <c r="B55" s="77">
        <v>10325</v>
      </c>
      <c r="C55" s="77" t="s">
        <v>180</v>
      </c>
      <c r="D55" s="77">
        <v>2.5</v>
      </c>
      <c r="E55" s="77">
        <v>2</v>
      </c>
      <c r="F55" s="79">
        <f t="shared" si="0"/>
        <v>4956.4930000000004</v>
      </c>
      <c r="J55" s="78">
        <v>10325</v>
      </c>
      <c r="K55" s="78" t="s">
        <v>173</v>
      </c>
      <c r="L55" s="78">
        <v>4956.4930000000004</v>
      </c>
    </row>
    <row r="56" spans="1:12">
      <c r="A56" s="77">
        <v>117436</v>
      </c>
      <c r="B56" s="77">
        <v>10332</v>
      </c>
      <c r="C56" s="77" t="s">
        <v>180</v>
      </c>
      <c r="D56" s="77">
        <v>2.25</v>
      </c>
      <c r="E56" s="77">
        <v>2</v>
      </c>
      <c r="F56" s="79">
        <f t="shared" si="0"/>
        <v>1464.694</v>
      </c>
      <c r="J56" s="78">
        <v>10332</v>
      </c>
      <c r="K56" s="78" t="s">
        <v>173</v>
      </c>
      <c r="L56" s="78">
        <v>1464.694</v>
      </c>
    </row>
    <row r="57" spans="1:12">
      <c r="A57" s="77">
        <v>191411</v>
      </c>
      <c r="B57" s="77">
        <v>10334</v>
      </c>
      <c r="C57" s="77" t="s">
        <v>180</v>
      </c>
      <c r="D57" s="77">
        <v>2.5</v>
      </c>
      <c r="E57" s="77">
        <v>1</v>
      </c>
      <c r="F57" s="79">
        <f t="shared" si="0"/>
        <v>4956.4930000000004</v>
      </c>
      <c r="J57" s="78">
        <v>10334</v>
      </c>
      <c r="K57" s="78" t="s">
        <v>173</v>
      </c>
      <c r="L57" s="78">
        <v>4956.4930000000004</v>
      </c>
    </row>
    <row r="58" spans="1:12">
      <c r="A58" s="77">
        <v>37507</v>
      </c>
      <c r="B58" s="77">
        <v>10335</v>
      </c>
      <c r="C58" s="77" t="s">
        <v>180</v>
      </c>
      <c r="D58" s="77">
        <v>1</v>
      </c>
      <c r="E58" s="77">
        <v>1</v>
      </c>
      <c r="F58" s="79">
        <f t="shared" si="0"/>
        <v>1524.7619999999999</v>
      </c>
      <c r="J58" s="78">
        <v>10335</v>
      </c>
      <c r="K58" s="78" t="s">
        <v>173</v>
      </c>
      <c r="L58" s="78">
        <v>1524.7619999999999</v>
      </c>
    </row>
    <row r="59" spans="1:12">
      <c r="A59" s="77">
        <v>55590</v>
      </c>
      <c r="B59" s="77">
        <v>10337</v>
      </c>
      <c r="C59" s="77" t="s">
        <v>180</v>
      </c>
      <c r="D59" s="77">
        <v>3</v>
      </c>
      <c r="E59" s="77">
        <v>2</v>
      </c>
      <c r="F59" s="79">
        <f t="shared" si="0"/>
        <v>1188.027</v>
      </c>
      <c r="J59" s="78">
        <v>10337</v>
      </c>
      <c r="K59" s="78" t="s">
        <v>172</v>
      </c>
      <c r="L59" s="78">
        <v>1188.027</v>
      </c>
    </row>
    <row r="60" spans="1:12">
      <c r="A60" s="77">
        <v>108061</v>
      </c>
      <c r="B60" s="77">
        <v>10338</v>
      </c>
      <c r="C60" s="77" t="s">
        <v>180</v>
      </c>
      <c r="D60" s="77">
        <v>2.5</v>
      </c>
      <c r="E60" s="77">
        <v>2</v>
      </c>
      <c r="F60" s="79">
        <f t="shared" si="0"/>
        <v>4956.4930000000004</v>
      </c>
      <c r="J60" s="78">
        <v>10338</v>
      </c>
      <c r="K60" s="78" t="s">
        <v>173</v>
      </c>
      <c r="L60" s="78">
        <v>4956.4930000000004</v>
      </c>
    </row>
    <row r="61" spans="1:12">
      <c r="A61" s="77">
        <v>172623</v>
      </c>
      <c r="B61" s="77">
        <v>10348</v>
      </c>
      <c r="C61" s="77" t="s">
        <v>180</v>
      </c>
      <c r="D61" s="77">
        <v>2.75</v>
      </c>
      <c r="E61" s="77">
        <v>2</v>
      </c>
      <c r="F61" s="79">
        <f t="shared" si="0"/>
        <v>6932.7380000000003</v>
      </c>
      <c r="J61" s="78">
        <v>10348</v>
      </c>
      <c r="K61" s="78" t="s">
        <v>172</v>
      </c>
      <c r="L61" s="78">
        <v>6932.7380000000003</v>
      </c>
    </row>
    <row r="62" spans="1:12">
      <c r="A62" s="77">
        <v>38470</v>
      </c>
      <c r="B62" s="77">
        <v>10352</v>
      </c>
      <c r="C62" s="77" t="s">
        <v>180</v>
      </c>
      <c r="D62" s="77">
        <v>1.5</v>
      </c>
      <c r="E62" s="77">
        <v>3</v>
      </c>
      <c r="F62" s="79">
        <f t="shared" si="0"/>
        <v>1188.027</v>
      </c>
      <c r="J62" s="78">
        <v>10352</v>
      </c>
      <c r="K62" s="78" t="s">
        <v>172</v>
      </c>
      <c r="L62" s="78">
        <v>1188.027</v>
      </c>
    </row>
    <row r="63" spans="1:12">
      <c r="A63" s="77">
        <v>42998</v>
      </c>
      <c r="B63" s="77">
        <v>10369</v>
      </c>
      <c r="C63" s="77" t="s">
        <v>180</v>
      </c>
      <c r="D63" s="77">
        <v>2.5</v>
      </c>
      <c r="E63" s="77">
        <v>3</v>
      </c>
      <c r="F63" s="79">
        <f t="shared" si="0"/>
        <v>1524.7619999999999</v>
      </c>
      <c r="J63" s="78">
        <v>10369</v>
      </c>
      <c r="K63" s="78" t="s">
        <v>173</v>
      </c>
      <c r="L63" s="78">
        <v>1524.7619999999999</v>
      </c>
    </row>
    <row r="64" spans="1:12">
      <c r="A64" s="77">
        <v>671947</v>
      </c>
      <c r="B64" s="77">
        <v>10384</v>
      </c>
      <c r="C64" s="77" t="s">
        <v>180</v>
      </c>
      <c r="D64" s="77">
        <v>2</v>
      </c>
      <c r="E64" s="77">
        <v>1</v>
      </c>
      <c r="F64" s="79">
        <f t="shared" si="0"/>
        <v>6932.7380000000003</v>
      </c>
      <c r="J64" s="78">
        <v>10384</v>
      </c>
      <c r="K64" s="78" t="s">
        <v>172</v>
      </c>
      <c r="L64" s="78">
        <v>6932.7380000000003</v>
      </c>
    </row>
    <row r="65" spans="1:12">
      <c r="A65" s="77">
        <v>679558</v>
      </c>
      <c r="B65" s="77">
        <v>10388</v>
      </c>
      <c r="C65" s="77" t="s">
        <v>180</v>
      </c>
      <c r="D65" s="77">
        <v>2.5</v>
      </c>
      <c r="E65" s="77">
        <v>1</v>
      </c>
      <c r="F65" s="79">
        <f t="shared" si="0"/>
        <v>1464.694</v>
      </c>
      <c r="J65" s="78">
        <v>10388</v>
      </c>
      <c r="K65" s="78" t="s">
        <v>173</v>
      </c>
      <c r="L65" s="78">
        <v>1464.694</v>
      </c>
    </row>
    <row r="66" spans="1:12">
      <c r="A66" s="77">
        <v>174290</v>
      </c>
      <c r="B66" s="77">
        <v>10398</v>
      </c>
      <c r="C66" s="77" t="s">
        <v>180</v>
      </c>
      <c r="D66" s="77">
        <v>4</v>
      </c>
      <c r="E66" s="77">
        <v>2</v>
      </c>
      <c r="F66" s="79">
        <f t="shared" si="0"/>
        <v>6932.7380000000003</v>
      </c>
      <c r="J66" s="78">
        <v>10398</v>
      </c>
      <c r="K66" s="78" t="s">
        <v>172</v>
      </c>
      <c r="L66" s="78">
        <v>6932.7380000000003</v>
      </c>
    </row>
    <row r="67" spans="1:12">
      <c r="A67" s="77">
        <v>59059</v>
      </c>
      <c r="B67" s="77">
        <v>10401</v>
      </c>
      <c r="C67" s="77" t="s">
        <v>180</v>
      </c>
      <c r="D67" s="77">
        <v>2.5</v>
      </c>
      <c r="E67" s="77">
        <v>2</v>
      </c>
      <c r="F67" s="79">
        <f t="shared" ref="F67:F130" si="1">VLOOKUP(B67,$J$2:$L$1405,3,FALSE)</f>
        <v>2003.7159999999999</v>
      </c>
      <c r="J67" s="78">
        <v>10401</v>
      </c>
      <c r="K67" s="78" t="s">
        <v>173</v>
      </c>
      <c r="L67" s="78">
        <v>2003.7159999999999</v>
      </c>
    </row>
    <row r="68" spans="1:12">
      <c r="A68" s="77">
        <v>95493</v>
      </c>
      <c r="B68" s="77">
        <v>10408</v>
      </c>
      <c r="C68" s="77" t="s">
        <v>180</v>
      </c>
      <c r="D68" s="77">
        <v>1.75</v>
      </c>
      <c r="E68" s="77">
        <v>2</v>
      </c>
      <c r="F68" s="79">
        <f t="shared" si="1"/>
        <v>4956.4930000000004</v>
      </c>
      <c r="J68" s="78">
        <v>10408</v>
      </c>
      <c r="K68" s="78" t="s">
        <v>173</v>
      </c>
      <c r="L68" s="78">
        <v>4956.4930000000004</v>
      </c>
    </row>
    <row r="69" spans="1:12">
      <c r="A69" s="77">
        <v>233964</v>
      </c>
      <c r="B69" s="77">
        <v>10411</v>
      </c>
      <c r="C69" s="77" t="s">
        <v>180</v>
      </c>
      <c r="D69" s="77">
        <v>5</v>
      </c>
      <c r="E69" s="77">
        <v>2</v>
      </c>
      <c r="F69" s="79">
        <f t="shared" si="1"/>
        <v>1150.8789999999999</v>
      </c>
      <c r="J69" s="78">
        <v>10411</v>
      </c>
      <c r="K69" s="78" t="s">
        <v>173</v>
      </c>
      <c r="L69" s="78">
        <v>1150.8789999999999</v>
      </c>
    </row>
    <row r="70" spans="1:12">
      <c r="A70" s="77">
        <v>38948</v>
      </c>
      <c r="B70" s="77">
        <v>10413</v>
      </c>
      <c r="C70" s="77" t="s">
        <v>180</v>
      </c>
      <c r="D70" s="77">
        <v>1</v>
      </c>
      <c r="E70" s="77">
        <v>1</v>
      </c>
      <c r="F70" s="79">
        <f t="shared" si="1"/>
        <v>1524.7619999999999</v>
      </c>
      <c r="J70" s="78">
        <v>10413</v>
      </c>
      <c r="K70" s="78" t="s">
        <v>173</v>
      </c>
      <c r="L70" s="78">
        <v>1524.7619999999999</v>
      </c>
    </row>
    <row r="71" spans="1:12">
      <c r="A71" s="77">
        <v>216548</v>
      </c>
      <c r="B71" s="77">
        <v>10421</v>
      </c>
      <c r="C71" s="77" t="s">
        <v>180</v>
      </c>
      <c r="D71" s="77">
        <v>2.5</v>
      </c>
      <c r="E71" s="77">
        <v>2</v>
      </c>
      <c r="F71" s="79">
        <f t="shared" si="1"/>
        <v>1464.694</v>
      </c>
      <c r="J71" s="78">
        <v>10421</v>
      </c>
      <c r="K71" s="78" t="s">
        <v>173</v>
      </c>
      <c r="L71" s="78">
        <v>1464.694</v>
      </c>
    </row>
    <row r="72" spans="1:12">
      <c r="A72" s="77">
        <v>108175</v>
      </c>
      <c r="B72" s="77">
        <v>10425</v>
      </c>
      <c r="C72" s="77" t="s">
        <v>180</v>
      </c>
      <c r="D72" s="77">
        <v>1.5</v>
      </c>
      <c r="E72" s="77">
        <v>2</v>
      </c>
      <c r="F72" s="79">
        <f t="shared" si="1"/>
        <v>4956.4930000000004</v>
      </c>
      <c r="J72" s="78">
        <v>10425</v>
      </c>
      <c r="K72" s="78" t="s">
        <v>173</v>
      </c>
      <c r="L72" s="78">
        <v>4956.4930000000004</v>
      </c>
    </row>
    <row r="73" spans="1:12">
      <c r="A73" s="77">
        <v>183217</v>
      </c>
      <c r="B73" s="77">
        <v>10430</v>
      </c>
      <c r="C73" s="77" t="s">
        <v>180</v>
      </c>
      <c r="D73" s="77">
        <v>2.5</v>
      </c>
      <c r="E73" s="77">
        <v>2</v>
      </c>
      <c r="F73" s="79">
        <f t="shared" si="1"/>
        <v>1464.694</v>
      </c>
      <c r="J73" s="78">
        <v>10430</v>
      </c>
      <c r="K73" s="78" t="s">
        <v>173</v>
      </c>
      <c r="L73" s="78">
        <v>1464.694</v>
      </c>
    </row>
    <row r="74" spans="1:12">
      <c r="A74" s="77">
        <v>66711</v>
      </c>
      <c r="B74" s="77">
        <v>10435</v>
      </c>
      <c r="C74" s="77" t="s">
        <v>180</v>
      </c>
      <c r="D74" s="77">
        <v>1.5</v>
      </c>
      <c r="E74" s="77">
        <v>2</v>
      </c>
      <c r="F74" s="79">
        <f t="shared" si="1"/>
        <v>1524.7619999999999</v>
      </c>
      <c r="J74" s="78">
        <v>10435</v>
      </c>
      <c r="K74" s="78" t="s">
        <v>173</v>
      </c>
      <c r="L74" s="78">
        <v>1524.7619999999999</v>
      </c>
    </row>
    <row r="75" spans="1:12">
      <c r="A75" s="77">
        <v>27365</v>
      </c>
      <c r="B75" s="77">
        <v>10459</v>
      </c>
      <c r="C75" s="77" t="s">
        <v>180</v>
      </c>
      <c r="D75" s="77">
        <v>1.5</v>
      </c>
      <c r="E75" s="77">
        <v>1</v>
      </c>
      <c r="F75" s="79">
        <f t="shared" si="1"/>
        <v>1524.7619999999999</v>
      </c>
      <c r="J75" s="78">
        <v>10459</v>
      </c>
      <c r="K75" s="78" t="s">
        <v>173</v>
      </c>
      <c r="L75" s="78">
        <v>1524.7619999999999</v>
      </c>
    </row>
    <row r="76" spans="1:12">
      <c r="A76" s="77">
        <v>40223</v>
      </c>
      <c r="B76" s="77">
        <v>10462</v>
      </c>
      <c r="C76" s="77" t="s">
        <v>180</v>
      </c>
      <c r="D76" s="77">
        <v>2.5</v>
      </c>
      <c r="E76" s="77">
        <v>2</v>
      </c>
      <c r="F76" s="79">
        <f t="shared" si="1"/>
        <v>1524.7619999999999</v>
      </c>
      <c r="J76" s="78">
        <v>10462</v>
      </c>
      <c r="K76" s="78" t="s">
        <v>173</v>
      </c>
      <c r="L76" s="78">
        <v>1524.7619999999999</v>
      </c>
    </row>
    <row r="77" spans="1:12">
      <c r="A77" s="77">
        <v>220489</v>
      </c>
      <c r="B77" s="77">
        <v>10466</v>
      </c>
      <c r="C77" s="77" t="s">
        <v>180</v>
      </c>
      <c r="D77" s="77">
        <v>2.5</v>
      </c>
      <c r="E77" s="77">
        <v>1</v>
      </c>
      <c r="F77" s="79">
        <f t="shared" si="1"/>
        <v>1464.694</v>
      </c>
      <c r="J77" s="78">
        <v>10466</v>
      </c>
      <c r="K77" s="78" t="s">
        <v>173</v>
      </c>
      <c r="L77" s="78">
        <v>1464.694</v>
      </c>
    </row>
    <row r="78" spans="1:12">
      <c r="A78" s="77">
        <v>223024</v>
      </c>
      <c r="B78" s="77">
        <v>10476</v>
      </c>
      <c r="C78" s="77" t="s">
        <v>180</v>
      </c>
      <c r="D78" s="77">
        <v>2</v>
      </c>
      <c r="E78" s="77">
        <v>1</v>
      </c>
      <c r="F78" s="79">
        <f t="shared" si="1"/>
        <v>4956.4930000000004</v>
      </c>
      <c r="J78" s="78">
        <v>10476</v>
      </c>
      <c r="K78" s="78" t="s">
        <v>173</v>
      </c>
      <c r="L78" s="78">
        <v>4956.4930000000004</v>
      </c>
    </row>
    <row r="79" spans="1:12">
      <c r="A79" s="77">
        <v>168372</v>
      </c>
      <c r="B79" s="77">
        <v>10486</v>
      </c>
      <c r="C79" s="77" t="s">
        <v>180</v>
      </c>
      <c r="D79" s="77">
        <v>2.5</v>
      </c>
      <c r="E79" s="77">
        <v>1</v>
      </c>
      <c r="F79" s="79">
        <f t="shared" si="1"/>
        <v>6932.7380000000003</v>
      </c>
      <c r="J79" s="78">
        <v>10486</v>
      </c>
      <c r="K79" s="78" t="s">
        <v>172</v>
      </c>
      <c r="L79" s="78">
        <v>6932.7380000000003</v>
      </c>
    </row>
    <row r="80" spans="1:12">
      <c r="A80" s="77">
        <v>678776</v>
      </c>
      <c r="B80" s="77">
        <v>10490</v>
      </c>
      <c r="C80" s="77" t="s">
        <v>180</v>
      </c>
      <c r="D80" s="77">
        <v>1.5</v>
      </c>
      <c r="E80" s="77">
        <v>1</v>
      </c>
      <c r="F80" s="79">
        <f t="shared" si="1"/>
        <v>4956.4930000000004</v>
      </c>
      <c r="J80" s="78">
        <v>10490</v>
      </c>
      <c r="K80" s="78" t="s">
        <v>173</v>
      </c>
      <c r="L80" s="78">
        <v>4956.4930000000004</v>
      </c>
    </row>
    <row r="81" spans="1:12">
      <c r="A81" s="77">
        <v>117796</v>
      </c>
      <c r="B81" s="77">
        <v>10491</v>
      </c>
      <c r="C81" s="77" t="s">
        <v>180</v>
      </c>
      <c r="D81" s="77">
        <v>1</v>
      </c>
      <c r="E81" s="77">
        <v>1</v>
      </c>
      <c r="F81" s="79">
        <f t="shared" si="1"/>
        <v>1464.694</v>
      </c>
      <c r="J81" s="78">
        <v>10491</v>
      </c>
      <c r="K81" s="78" t="s">
        <v>173</v>
      </c>
      <c r="L81" s="78">
        <v>1464.694</v>
      </c>
    </row>
    <row r="82" spans="1:12">
      <c r="A82" s="77">
        <v>50596</v>
      </c>
      <c r="B82" s="77">
        <v>10493</v>
      </c>
      <c r="C82" s="77" t="s">
        <v>180</v>
      </c>
      <c r="D82" s="77">
        <v>1.5</v>
      </c>
      <c r="E82" s="77">
        <v>3</v>
      </c>
      <c r="F82" s="79">
        <f t="shared" si="1"/>
        <v>1524.7619999999999</v>
      </c>
      <c r="J82" s="78">
        <v>10493</v>
      </c>
      <c r="K82" s="78" t="s">
        <v>173</v>
      </c>
      <c r="L82" s="78">
        <v>1524.7619999999999</v>
      </c>
    </row>
    <row r="83" spans="1:12">
      <c r="A83" s="77">
        <v>27219</v>
      </c>
      <c r="B83" s="77">
        <v>10496</v>
      </c>
      <c r="C83" s="77" t="s">
        <v>180</v>
      </c>
      <c r="D83" s="77">
        <v>4</v>
      </c>
      <c r="E83" s="77">
        <v>1</v>
      </c>
      <c r="F83" s="79">
        <f t="shared" si="1"/>
        <v>1150.8789999999999</v>
      </c>
      <c r="J83" s="78">
        <v>10496</v>
      </c>
      <c r="K83" s="78" t="s">
        <v>173</v>
      </c>
      <c r="L83" s="78">
        <v>1150.8789999999999</v>
      </c>
    </row>
    <row r="84" spans="1:12">
      <c r="A84" s="77">
        <v>120325</v>
      </c>
      <c r="B84" s="77">
        <v>10510</v>
      </c>
      <c r="C84" s="77" t="s">
        <v>180</v>
      </c>
      <c r="D84" s="77">
        <v>2</v>
      </c>
      <c r="E84" s="77">
        <v>2</v>
      </c>
      <c r="F84" s="79">
        <f t="shared" si="1"/>
        <v>1464.694</v>
      </c>
      <c r="J84" s="78">
        <v>10510</v>
      </c>
      <c r="K84" s="78" t="s">
        <v>173</v>
      </c>
      <c r="L84" s="78">
        <v>1464.694</v>
      </c>
    </row>
    <row r="85" spans="1:12">
      <c r="A85" s="77">
        <v>41423</v>
      </c>
      <c r="B85" s="77">
        <v>10514</v>
      </c>
      <c r="C85" s="77" t="s">
        <v>180</v>
      </c>
      <c r="D85" s="77">
        <v>1</v>
      </c>
      <c r="E85" s="77">
        <v>1</v>
      </c>
      <c r="F85" s="79">
        <f t="shared" si="1"/>
        <v>1524.7619999999999</v>
      </c>
      <c r="J85" s="78">
        <v>10514</v>
      </c>
      <c r="K85" s="78" t="s">
        <v>173</v>
      </c>
      <c r="L85" s="78">
        <v>1524.7619999999999</v>
      </c>
    </row>
    <row r="86" spans="1:12">
      <c r="A86" s="77">
        <v>216452</v>
      </c>
      <c r="B86" s="77">
        <v>10516</v>
      </c>
      <c r="C86" s="77" t="s">
        <v>180</v>
      </c>
      <c r="D86" s="77">
        <v>3</v>
      </c>
      <c r="E86" s="77">
        <v>1</v>
      </c>
      <c r="F86" s="79">
        <f t="shared" si="1"/>
        <v>6932.7380000000003</v>
      </c>
      <c r="J86" s="78">
        <v>10516</v>
      </c>
      <c r="K86" s="78" t="s">
        <v>172</v>
      </c>
      <c r="L86" s="78">
        <v>6932.7380000000003</v>
      </c>
    </row>
    <row r="87" spans="1:12">
      <c r="A87" s="77">
        <v>149333</v>
      </c>
      <c r="B87" s="77">
        <v>10518</v>
      </c>
      <c r="C87" s="77" t="s">
        <v>180</v>
      </c>
      <c r="D87" s="77">
        <v>2.5</v>
      </c>
      <c r="E87" s="77">
        <v>2</v>
      </c>
      <c r="F87" s="79">
        <f t="shared" si="1"/>
        <v>4956.4930000000004</v>
      </c>
      <c r="J87" s="78">
        <v>10518</v>
      </c>
      <c r="K87" s="78" t="s">
        <v>173</v>
      </c>
      <c r="L87" s="78">
        <v>4956.4930000000004</v>
      </c>
    </row>
    <row r="88" spans="1:12">
      <c r="A88" s="77">
        <v>118260</v>
      </c>
      <c r="B88" s="77">
        <v>10525</v>
      </c>
      <c r="C88" s="77" t="s">
        <v>180</v>
      </c>
      <c r="D88" s="77">
        <v>1.5</v>
      </c>
      <c r="E88" s="77">
        <v>1</v>
      </c>
      <c r="F88" s="79">
        <f t="shared" si="1"/>
        <v>1464.694</v>
      </c>
      <c r="J88" s="78">
        <v>10525</v>
      </c>
      <c r="K88" s="78" t="s">
        <v>173</v>
      </c>
      <c r="L88" s="78">
        <v>1464.694</v>
      </c>
    </row>
    <row r="89" spans="1:12">
      <c r="A89" s="77">
        <v>117982</v>
      </c>
      <c r="B89" s="77">
        <v>10537</v>
      </c>
      <c r="C89" s="77" t="s">
        <v>180</v>
      </c>
      <c r="D89" s="77">
        <v>1.5</v>
      </c>
      <c r="E89" s="77">
        <v>2</v>
      </c>
      <c r="F89" s="79">
        <f t="shared" si="1"/>
        <v>4956.4930000000004</v>
      </c>
      <c r="J89" s="78">
        <v>10537</v>
      </c>
      <c r="K89" s="78" t="s">
        <v>173</v>
      </c>
      <c r="L89" s="78">
        <v>4956.4930000000004</v>
      </c>
    </row>
    <row r="90" spans="1:12">
      <c r="A90" s="77">
        <v>159356</v>
      </c>
      <c r="B90" s="77">
        <v>10540</v>
      </c>
      <c r="C90" s="77" t="s">
        <v>180</v>
      </c>
      <c r="D90" s="77">
        <v>2.2000000000000002</v>
      </c>
      <c r="E90" s="77">
        <v>3</v>
      </c>
      <c r="F90" s="79">
        <f t="shared" si="1"/>
        <v>6932.7380000000003</v>
      </c>
      <c r="J90" s="78">
        <v>10540</v>
      </c>
      <c r="K90" s="78" t="s">
        <v>172</v>
      </c>
      <c r="L90" s="78">
        <v>6932.7380000000003</v>
      </c>
    </row>
    <row r="91" spans="1:12">
      <c r="A91" s="77">
        <v>28102</v>
      </c>
      <c r="B91" s="77">
        <v>10551</v>
      </c>
      <c r="C91" s="77" t="s">
        <v>180</v>
      </c>
      <c r="D91" s="77">
        <v>1.5</v>
      </c>
      <c r="E91" s="77">
        <v>2</v>
      </c>
      <c r="F91" s="79">
        <f t="shared" si="1"/>
        <v>1524.7619999999999</v>
      </c>
      <c r="J91" s="78">
        <v>10551</v>
      </c>
      <c r="K91" s="78" t="s">
        <v>173</v>
      </c>
      <c r="L91" s="78">
        <v>1524.7619999999999</v>
      </c>
    </row>
    <row r="92" spans="1:12">
      <c r="A92" s="77">
        <v>115747</v>
      </c>
      <c r="B92" s="77">
        <v>10552</v>
      </c>
      <c r="C92" s="77" t="s">
        <v>180</v>
      </c>
      <c r="D92" s="77">
        <v>2</v>
      </c>
      <c r="E92" s="77">
        <v>1</v>
      </c>
      <c r="F92" s="79">
        <f t="shared" si="1"/>
        <v>1464.694</v>
      </c>
      <c r="J92" s="78">
        <v>10552</v>
      </c>
      <c r="K92" s="78" t="s">
        <v>173</v>
      </c>
      <c r="L92" s="78">
        <v>1464.694</v>
      </c>
    </row>
    <row r="93" spans="1:12">
      <c r="A93" s="77">
        <v>30767</v>
      </c>
      <c r="B93" s="77">
        <v>10557</v>
      </c>
      <c r="C93" s="77" t="s">
        <v>180</v>
      </c>
      <c r="D93" s="77">
        <v>1.5</v>
      </c>
      <c r="E93" s="77">
        <v>1</v>
      </c>
      <c r="F93" s="79">
        <f t="shared" si="1"/>
        <v>1524.7619999999999</v>
      </c>
      <c r="J93" s="78">
        <v>10557</v>
      </c>
      <c r="K93" s="78" t="s">
        <v>173</v>
      </c>
      <c r="L93" s="78">
        <v>1524.7619999999999</v>
      </c>
    </row>
    <row r="94" spans="1:12">
      <c r="A94" s="77">
        <v>60295</v>
      </c>
      <c r="B94" s="77">
        <v>10561</v>
      </c>
      <c r="C94" s="77" t="s">
        <v>180</v>
      </c>
      <c r="D94" s="77">
        <v>2</v>
      </c>
      <c r="E94" s="77">
        <v>1</v>
      </c>
      <c r="F94" s="79">
        <f t="shared" si="1"/>
        <v>2003.7159999999999</v>
      </c>
      <c r="J94" s="78">
        <v>10561</v>
      </c>
      <c r="K94" s="78" t="s">
        <v>173</v>
      </c>
      <c r="L94" s="78">
        <v>2003.7159999999999</v>
      </c>
    </row>
    <row r="95" spans="1:12">
      <c r="A95" s="77">
        <v>85118</v>
      </c>
      <c r="B95" s="77">
        <v>10565</v>
      </c>
      <c r="C95" s="77" t="s">
        <v>180</v>
      </c>
      <c r="D95" s="77">
        <v>2</v>
      </c>
      <c r="E95" s="77">
        <v>1</v>
      </c>
      <c r="F95" s="79">
        <f t="shared" si="1"/>
        <v>2003.7159999999999</v>
      </c>
      <c r="J95" s="78">
        <v>10565</v>
      </c>
      <c r="K95" s="78" t="s">
        <v>173</v>
      </c>
      <c r="L95" s="78">
        <v>2003.7159999999999</v>
      </c>
    </row>
    <row r="96" spans="1:12">
      <c r="A96" s="77">
        <v>59720</v>
      </c>
      <c r="B96" s="77">
        <v>10567</v>
      </c>
      <c r="C96" s="77" t="s">
        <v>180</v>
      </c>
      <c r="D96" s="77">
        <v>1.5</v>
      </c>
      <c r="E96" s="77">
        <v>2</v>
      </c>
      <c r="F96" s="79">
        <f t="shared" si="1"/>
        <v>2003.7159999999999</v>
      </c>
      <c r="J96" s="78">
        <v>10567</v>
      </c>
      <c r="K96" s="78" t="s">
        <v>173</v>
      </c>
      <c r="L96" s="78">
        <v>2003.7159999999999</v>
      </c>
    </row>
    <row r="97" spans="1:12">
      <c r="A97" s="77">
        <v>159497</v>
      </c>
      <c r="B97" s="77">
        <v>10579</v>
      </c>
      <c r="C97" s="77" t="s">
        <v>180</v>
      </c>
      <c r="D97" s="77">
        <v>2.8</v>
      </c>
      <c r="E97" s="77">
        <v>2</v>
      </c>
      <c r="F97" s="79">
        <f t="shared" si="1"/>
        <v>6932.7380000000003</v>
      </c>
      <c r="J97" s="78">
        <v>10579</v>
      </c>
      <c r="K97" s="78" t="s">
        <v>172</v>
      </c>
      <c r="L97" s="78">
        <v>6932.7380000000003</v>
      </c>
    </row>
    <row r="98" spans="1:12">
      <c r="A98" s="77">
        <v>31282</v>
      </c>
      <c r="B98" s="77">
        <v>10580</v>
      </c>
      <c r="C98" s="77" t="s">
        <v>180</v>
      </c>
      <c r="D98" s="77">
        <v>2.25</v>
      </c>
      <c r="E98" s="77">
        <v>2</v>
      </c>
      <c r="F98" s="79">
        <f t="shared" si="1"/>
        <v>1524.7619999999999</v>
      </c>
      <c r="J98" s="78">
        <v>10580</v>
      </c>
      <c r="K98" s="78" t="s">
        <v>173</v>
      </c>
      <c r="L98" s="78">
        <v>1524.7619999999999</v>
      </c>
    </row>
    <row r="99" spans="1:12">
      <c r="A99" s="77">
        <v>91016</v>
      </c>
      <c r="B99" s="77">
        <v>10585</v>
      </c>
      <c r="C99" s="77" t="s">
        <v>180</v>
      </c>
      <c r="D99" s="77">
        <v>1.5</v>
      </c>
      <c r="E99" s="77">
        <v>2</v>
      </c>
      <c r="F99" s="79">
        <f t="shared" si="1"/>
        <v>2003.7159999999999</v>
      </c>
      <c r="J99" s="78">
        <v>10585</v>
      </c>
      <c r="K99" s="78" t="s">
        <v>173</v>
      </c>
      <c r="L99" s="78">
        <v>2003.7159999999999</v>
      </c>
    </row>
    <row r="100" spans="1:12">
      <c r="A100" s="77">
        <v>27567</v>
      </c>
      <c r="B100" s="77">
        <v>10595</v>
      </c>
      <c r="C100" s="77" t="s">
        <v>180</v>
      </c>
      <c r="D100" s="77">
        <v>1.5</v>
      </c>
      <c r="E100" s="77">
        <v>2</v>
      </c>
      <c r="F100" s="79">
        <f t="shared" si="1"/>
        <v>1524.7619999999999</v>
      </c>
      <c r="J100" s="78">
        <v>10595</v>
      </c>
      <c r="K100" s="78" t="s">
        <v>173</v>
      </c>
      <c r="L100" s="78">
        <v>1524.7619999999999</v>
      </c>
    </row>
    <row r="101" spans="1:12">
      <c r="A101" s="77">
        <v>60171</v>
      </c>
      <c r="B101" s="77">
        <v>10605</v>
      </c>
      <c r="C101" s="77" t="s">
        <v>180</v>
      </c>
      <c r="D101" s="77">
        <v>1.75</v>
      </c>
      <c r="E101" s="77">
        <v>2</v>
      </c>
      <c r="F101" s="79">
        <f t="shared" si="1"/>
        <v>2003.7159999999999</v>
      </c>
      <c r="J101" s="78">
        <v>10605</v>
      </c>
      <c r="K101" s="78" t="s">
        <v>173</v>
      </c>
      <c r="L101" s="78">
        <v>2003.7159999999999</v>
      </c>
    </row>
    <row r="102" spans="1:12">
      <c r="A102" s="77">
        <v>135745</v>
      </c>
      <c r="B102" s="77">
        <v>10612</v>
      </c>
      <c r="C102" s="77" t="s">
        <v>180</v>
      </c>
      <c r="D102" s="77">
        <v>4</v>
      </c>
      <c r="E102" s="77">
        <v>2</v>
      </c>
      <c r="F102" s="79">
        <f t="shared" si="1"/>
        <v>6932.7380000000003</v>
      </c>
      <c r="J102" s="78">
        <v>10612</v>
      </c>
      <c r="K102" s="78" t="s">
        <v>172</v>
      </c>
      <c r="L102" s="78">
        <v>6932.7380000000003</v>
      </c>
    </row>
    <row r="103" spans="1:12">
      <c r="A103" s="77">
        <v>206204</v>
      </c>
      <c r="B103" s="77">
        <v>10627</v>
      </c>
      <c r="C103" s="77" t="s">
        <v>180</v>
      </c>
      <c r="D103" s="77">
        <v>1.2</v>
      </c>
      <c r="E103" s="77">
        <v>2</v>
      </c>
      <c r="F103" s="79">
        <f t="shared" si="1"/>
        <v>6932.7380000000003</v>
      </c>
      <c r="J103" s="78">
        <v>10627</v>
      </c>
      <c r="K103" s="78" t="s">
        <v>172</v>
      </c>
      <c r="L103" s="78">
        <v>6932.7380000000003</v>
      </c>
    </row>
    <row r="104" spans="1:12">
      <c r="A104" s="77">
        <v>97321</v>
      </c>
      <c r="B104" s="77">
        <v>10629</v>
      </c>
      <c r="C104" s="77" t="s">
        <v>180</v>
      </c>
      <c r="D104" s="77">
        <v>2.5</v>
      </c>
      <c r="E104" s="77">
        <v>1</v>
      </c>
      <c r="F104" s="79">
        <f t="shared" si="1"/>
        <v>4956.4930000000004</v>
      </c>
      <c r="J104" s="78">
        <v>10629</v>
      </c>
      <c r="K104" s="78" t="s">
        <v>173</v>
      </c>
      <c r="L104" s="78">
        <v>4956.4930000000004</v>
      </c>
    </row>
    <row r="105" spans="1:12">
      <c r="A105" s="77">
        <v>97430</v>
      </c>
      <c r="B105" s="77">
        <v>10630</v>
      </c>
      <c r="C105" s="77" t="s">
        <v>180</v>
      </c>
      <c r="D105" s="77">
        <v>2</v>
      </c>
      <c r="E105" s="77">
        <v>3</v>
      </c>
      <c r="F105" s="79">
        <f t="shared" si="1"/>
        <v>4956.4930000000004</v>
      </c>
      <c r="J105" s="78">
        <v>10630</v>
      </c>
      <c r="K105" s="78" t="s">
        <v>173</v>
      </c>
      <c r="L105" s="78">
        <v>4956.4930000000004</v>
      </c>
    </row>
    <row r="106" spans="1:12">
      <c r="A106" s="77">
        <v>109137</v>
      </c>
      <c r="B106" s="77">
        <v>10636</v>
      </c>
      <c r="C106" s="77" t="s">
        <v>180</v>
      </c>
      <c r="D106" s="77">
        <v>2.2999999999999998</v>
      </c>
      <c r="E106" s="77">
        <v>1</v>
      </c>
      <c r="F106" s="79">
        <f t="shared" si="1"/>
        <v>4956.4930000000004</v>
      </c>
      <c r="J106" s="78">
        <v>10636</v>
      </c>
      <c r="K106" s="78" t="s">
        <v>173</v>
      </c>
      <c r="L106" s="78">
        <v>4956.4930000000004</v>
      </c>
    </row>
    <row r="107" spans="1:12">
      <c r="A107" s="77">
        <v>36214</v>
      </c>
      <c r="B107" s="77">
        <v>10637</v>
      </c>
      <c r="C107" s="77" t="s">
        <v>180</v>
      </c>
      <c r="D107" s="77">
        <v>2</v>
      </c>
      <c r="E107" s="77">
        <v>1</v>
      </c>
      <c r="F107" s="79">
        <f t="shared" si="1"/>
        <v>1188.027</v>
      </c>
      <c r="J107" s="78">
        <v>10637</v>
      </c>
      <c r="K107" s="78" t="s">
        <v>172</v>
      </c>
      <c r="L107" s="78">
        <v>1188.027</v>
      </c>
    </row>
    <row r="108" spans="1:12">
      <c r="A108" s="77">
        <v>50730</v>
      </c>
      <c r="B108" s="77">
        <v>10638</v>
      </c>
      <c r="C108" s="77" t="s">
        <v>180</v>
      </c>
      <c r="D108" s="77">
        <v>1</v>
      </c>
      <c r="E108" s="77">
        <v>1</v>
      </c>
      <c r="F108" s="79">
        <f t="shared" si="1"/>
        <v>1524.7619999999999</v>
      </c>
      <c r="J108" s="78">
        <v>10638</v>
      </c>
      <c r="K108" s="78" t="s">
        <v>173</v>
      </c>
      <c r="L108" s="78">
        <v>1524.7619999999999</v>
      </c>
    </row>
    <row r="109" spans="1:12">
      <c r="A109" s="77">
        <v>216097</v>
      </c>
      <c r="B109" s="77">
        <v>10649</v>
      </c>
      <c r="C109" s="77" t="s">
        <v>180</v>
      </c>
      <c r="D109" s="77">
        <v>3</v>
      </c>
      <c r="E109" s="77">
        <v>1</v>
      </c>
      <c r="F109" s="79">
        <f t="shared" si="1"/>
        <v>6932.7380000000003</v>
      </c>
      <c r="J109" s="78">
        <v>10649</v>
      </c>
      <c r="K109" s="78" t="s">
        <v>172</v>
      </c>
      <c r="L109" s="78">
        <v>6932.7380000000003</v>
      </c>
    </row>
    <row r="110" spans="1:12">
      <c r="A110" s="77">
        <v>61410</v>
      </c>
      <c r="B110" s="77">
        <v>10657</v>
      </c>
      <c r="C110" s="77" t="s">
        <v>180</v>
      </c>
      <c r="D110" s="77">
        <v>3.5</v>
      </c>
      <c r="E110" s="77">
        <v>2</v>
      </c>
      <c r="F110" s="79">
        <f t="shared" si="1"/>
        <v>1524.7619999999999</v>
      </c>
      <c r="J110" s="78">
        <v>10657</v>
      </c>
      <c r="K110" s="78" t="s">
        <v>173</v>
      </c>
      <c r="L110" s="78">
        <v>1524.7619999999999</v>
      </c>
    </row>
    <row r="111" spans="1:12">
      <c r="A111" s="77">
        <v>119716</v>
      </c>
      <c r="B111" s="77">
        <v>10658</v>
      </c>
      <c r="C111" s="77" t="s">
        <v>180</v>
      </c>
      <c r="D111" s="77">
        <v>1.5</v>
      </c>
      <c r="E111" s="77">
        <v>1</v>
      </c>
      <c r="F111" s="79">
        <f t="shared" si="1"/>
        <v>1464.694</v>
      </c>
      <c r="J111" s="78">
        <v>10658</v>
      </c>
      <c r="K111" s="78" t="s">
        <v>173</v>
      </c>
      <c r="L111" s="78">
        <v>1464.694</v>
      </c>
    </row>
    <row r="112" spans="1:12">
      <c r="A112" s="77">
        <v>55847</v>
      </c>
      <c r="B112" s="77">
        <v>10661</v>
      </c>
      <c r="C112" s="77" t="s">
        <v>180</v>
      </c>
      <c r="D112" s="77">
        <v>1.75</v>
      </c>
      <c r="E112" s="77">
        <v>2</v>
      </c>
      <c r="F112" s="79">
        <f t="shared" si="1"/>
        <v>1524.7619999999999</v>
      </c>
      <c r="J112" s="78">
        <v>10661</v>
      </c>
      <c r="K112" s="78" t="s">
        <v>173</v>
      </c>
      <c r="L112" s="78">
        <v>1524.7619999999999</v>
      </c>
    </row>
    <row r="113" spans="1:12">
      <c r="A113" s="77">
        <v>201059</v>
      </c>
      <c r="B113" s="77">
        <v>10664</v>
      </c>
      <c r="C113" s="77" t="s">
        <v>180</v>
      </c>
      <c r="D113" s="77">
        <v>2</v>
      </c>
      <c r="E113" s="77">
        <v>2</v>
      </c>
      <c r="F113" s="79">
        <f t="shared" si="1"/>
        <v>8264.9449999999997</v>
      </c>
      <c r="J113" s="78">
        <v>10664</v>
      </c>
      <c r="K113" s="78" t="s">
        <v>172</v>
      </c>
      <c r="L113" s="78">
        <v>8264.9449999999997</v>
      </c>
    </row>
    <row r="114" spans="1:12">
      <c r="A114" s="77">
        <v>66218</v>
      </c>
      <c r="B114" s="77">
        <v>10681</v>
      </c>
      <c r="C114" s="77" t="s">
        <v>180</v>
      </c>
      <c r="D114" s="77">
        <v>2.25</v>
      </c>
      <c r="E114" s="77">
        <v>3</v>
      </c>
      <c r="F114" s="79">
        <f t="shared" si="1"/>
        <v>2003.7159999999999</v>
      </c>
      <c r="J114" s="78">
        <v>10681</v>
      </c>
      <c r="K114" s="78" t="s">
        <v>173</v>
      </c>
      <c r="L114" s="78">
        <v>2003.7159999999999</v>
      </c>
    </row>
    <row r="115" spans="1:12">
      <c r="A115" s="77">
        <v>27018</v>
      </c>
      <c r="B115" s="77">
        <v>10688</v>
      </c>
      <c r="C115" s="77" t="s">
        <v>180</v>
      </c>
      <c r="D115" s="77">
        <v>1</v>
      </c>
      <c r="E115" s="77">
        <v>2</v>
      </c>
      <c r="F115" s="79">
        <f t="shared" si="1"/>
        <v>1150.8789999999999</v>
      </c>
      <c r="J115" s="78">
        <v>10688</v>
      </c>
      <c r="K115" s="78" t="s">
        <v>173</v>
      </c>
      <c r="L115" s="78">
        <v>1150.8789999999999</v>
      </c>
    </row>
    <row r="116" spans="1:12">
      <c r="A116" s="77">
        <v>239807</v>
      </c>
      <c r="B116" s="77">
        <v>10690</v>
      </c>
      <c r="C116" s="77" t="s">
        <v>180</v>
      </c>
      <c r="D116" s="77">
        <v>1.8</v>
      </c>
      <c r="E116" s="77">
        <v>2</v>
      </c>
      <c r="F116" s="79">
        <f t="shared" si="1"/>
        <v>1150.8789999999999</v>
      </c>
      <c r="J116" s="78">
        <v>10690</v>
      </c>
      <c r="K116" s="78" t="s">
        <v>173</v>
      </c>
      <c r="L116" s="78">
        <v>1150.8789999999999</v>
      </c>
    </row>
    <row r="117" spans="1:12">
      <c r="A117" s="77">
        <v>216743</v>
      </c>
      <c r="B117" s="77">
        <v>10695</v>
      </c>
      <c r="C117" s="77" t="s">
        <v>180</v>
      </c>
      <c r="D117" s="77">
        <v>1.75</v>
      </c>
      <c r="E117" s="77">
        <v>1</v>
      </c>
      <c r="F117" s="79">
        <f t="shared" si="1"/>
        <v>1464.694</v>
      </c>
      <c r="J117" s="78">
        <v>10695</v>
      </c>
      <c r="K117" s="78" t="s">
        <v>173</v>
      </c>
      <c r="L117" s="78">
        <v>1464.694</v>
      </c>
    </row>
    <row r="118" spans="1:12">
      <c r="A118" s="77">
        <v>223253</v>
      </c>
      <c r="B118" s="77">
        <v>10696</v>
      </c>
      <c r="C118" s="77" t="s">
        <v>180</v>
      </c>
      <c r="D118" s="77">
        <v>2</v>
      </c>
      <c r="E118" s="77">
        <v>3</v>
      </c>
      <c r="F118" s="79">
        <f t="shared" si="1"/>
        <v>1464.694</v>
      </c>
      <c r="J118" s="78">
        <v>10696</v>
      </c>
      <c r="K118" s="78" t="s">
        <v>173</v>
      </c>
      <c r="L118" s="78">
        <v>1464.694</v>
      </c>
    </row>
    <row r="119" spans="1:12">
      <c r="A119" s="77">
        <v>39810</v>
      </c>
      <c r="B119" s="77">
        <v>10697</v>
      </c>
      <c r="C119" s="77" t="s">
        <v>180</v>
      </c>
      <c r="D119" s="77">
        <v>2.5</v>
      </c>
      <c r="E119" s="77">
        <v>1</v>
      </c>
      <c r="F119" s="79">
        <f t="shared" si="1"/>
        <v>1524.7619999999999</v>
      </c>
      <c r="J119" s="78">
        <v>10697</v>
      </c>
      <c r="K119" s="78" t="s">
        <v>173</v>
      </c>
      <c r="L119" s="78">
        <v>1524.7619999999999</v>
      </c>
    </row>
    <row r="120" spans="1:12">
      <c r="A120" s="77">
        <v>135842</v>
      </c>
      <c r="B120" s="77">
        <v>10699</v>
      </c>
      <c r="C120" s="77" t="s">
        <v>180</v>
      </c>
      <c r="D120" s="77">
        <v>5</v>
      </c>
      <c r="E120" s="77">
        <v>1</v>
      </c>
      <c r="F120" s="79">
        <f t="shared" si="1"/>
        <v>6932.7380000000003</v>
      </c>
      <c r="J120" s="78">
        <v>10699</v>
      </c>
      <c r="K120" s="78" t="s">
        <v>172</v>
      </c>
      <c r="L120" s="78">
        <v>6932.7380000000003</v>
      </c>
    </row>
    <row r="121" spans="1:12">
      <c r="A121" s="77">
        <v>105618</v>
      </c>
      <c r="B121" s="77">
        <v>10701</v>
      </c>
      <c r="C121" s="77" t="s">
        <v>180</v>
      </c>
      <c r="D121" s="77">
        <v>2</v>
      </c>
      <c r="E121" s="77">
        <v>1</v>
      </c>
      <c r="F121" s="79">
        <f t="shared" si="1"/>
        <v>4956.4930000000004</v>
      </c>
      <c r="J121" s="78">
        <v>10701</v>
      </c>
      <c r="K121" s="78" t="s">
        <v>173</v>
      </c>
      <c r="L121" s="78">
        <v>4956.4930000000004</v>
      </c>
    </row>
    <row r="122" spans="1:12">
      <c r="A122" s="77">
        <v>227560</v>
      </c>
      <c r="B122" s="77">
        <v>10705</v>
      </c>
      <c r="C122" s="77" t="s">
        <v>180</v>
      </c>
      <c r="D122" s="77">
        <v>2.5</v>
      </c>
      <c r="E122" s="77">
        <v>1</v>
      </c>
      <c r="F122" s="79">
        <f t="shared" si="1"/>
        <v>1464.694</v>
      </c>
      <c r="J122" s="78">
        <v>10705</v>
      </c>
      <c r="K122" s="78" t="s">
        <v>173</v>
      </c>
      <c r="L122" s="78">
        <v>1464.694</v>
      </c>
    </row>
    <row r="123" spans="1:12">
      <c r="A123" s="77">
        <v>55703</v>
      </c>
      <c r="B123" s="77">
        <v>10709</v>
      </c>
      <c r="C123" s="77" t="s">
        <v>180</v>
      </c>
      <c r="D123" s="77">
        <v>2.25</v>
      </c>
      <c r="E123" s="77">
        <v>2</v>
      </c>
      <c r="F123" s="79">
        <f t="shared" si="1"/>
        <v>1524.7619999999999</v>
      </c>
      <c r="J123" s="78">
        <v>10709</v>
      </c>
      <c r="K123" s="78" t="s">
        <v>173</v>
      </c>
      <c r="L123" s="78">
        <v>1524.7619999999999</v>
      </c>
    </row>
    <row r="124" spans="1:12">
      <c r="A124" s="77">
        <v>224072</v>
      </c>
      <c r="B124" s="77">
        <v>10710</v>
      </c>
      <c r="C124" s="77" t="s">
        <v>180</v>
      </c>
      <c r="D124" s="77">
        <v>3</v>
      </c>
      <c r="E124" s="77">
        <v>2</v>
      </c>
      <c r="F124" s="79">
        <f t="shared" si="1"/>
        <v>6932.7380000000003</v>
      </c>
      <c r="J124" s="78">
        <v>10710</v>
      </c>
      <c r="K124" s="78" t="s">
        <v>172</v>
      </c>
      <c r="L124" s="78">
        <v>6932.7380000000003</v>
      </c>
    </row>
    <row r="125" spans="1:12">
      <c r="A125" s="77">
        <v>216191</v>
      </c>
      <c r="B125" s="77">
        <v>10713</v>
      </c>
      <c r="C125" s="77" t="s">
        <v>180</v>
      </c>
      <c r="D125" s="77">
        <v>3</v>
      </c>
      <c r="E125" s="77">
        <v>3</v>
      </c>
      <c r="F125" s="79">
        <f t="shared" si="1"/>
        <v>6932.7380000000003</v>
      </c>
      <c r="J125" s="78">
        <v>10713</v>
      </c>
      <c r="K125" s="78" t="s">
        <v>172</v>
      </c>
      <c r="L125" s="78">
        <v>6932.7380000000003</v>
      </c>
    </row>
    <row r="126" spans="1:12">
      <c r="A126" s="77">
        <v>689715</v>
      </c>
      <c r="B126" s="77">
        <v>10715</v>
      </c>
      <c r="C126" s="77" t="s">
        <v>180</v>
      </c>
      <c r="D126" s="77">
        <v>2.5</v>
      </c>
      <c r="E126" s="77">
        <v>1</v>
      </c>
      <c r="F126" s="79">
        <f t="shared" si="1"/>
        <v>4956.4930000000004</v>
      </c>
      <c r="J126" s="78">
        <v>10715</v>
      </c>
      <c r="K126" s="78" t="s">
        <v>173</v>
      </c>
      <c r="L126" s="78">
        <v>4956.4930000000004</v>
      </c>
    </row>
    <row r="127" spans="1:12">
      <c r="A127" s="77">
        <v>216905</v>
      </c>
      <c r="B127" s="77">
        <v>10728</v>
      </c>
      <c r="C127" s="77" t="s">
        <v>180</v>
      </c>
      <c r="D127" s="77">
        <v>2.5</v>
      </c>
      <c r="E127" s="77">
        <v>2</v>
      </c>
      <c r="F127" s="79">
        <f t="shared" si="1"/>
        <v>2003.7159999999999</v>
      </c>
      <c r="J127" s="78">
        <v>10728</v>
      </c>
      <c r="K127" s="78" t="s">
        <v>173</v>
      </c>
      <c r="L127" s="78">
        <v>2003.7159999999999</v>
      </c>
    </row>
    <row r="128" spans="1:12">
      <c r="A128" s="77">
        <v>44568</v>
      </c>
      <c r="B128" s="77">
        <v>10733</v>
      </c>
      <c r="C128" s="77" t="s">
        <v>180</v>
      </c>
      <c r="D128" s="77">
        <v>1.75</v>
      </c>
      <c r="E128" s="77">
        <v>2</v>
      </c>
      <c r="F128" s="79">
        <f t="shared" si="1"/>
        <v>1524.7619999999999</v>
      </c>
      <c r="J128" s="78">
        <v>10733</v>
      </c>
      <c r="K128" s="78" t="s">
        <v>173</v>
      </c>
      <c r="L128" s="78">
        <v>1524.7619999999999</v>
      </c>
    </row>
    <row r="129" spans="1:12">
      <c r="A129" s="77">
        <v>51579</v>
      </c>
      <c r="B129" s="77">
        <v>10738</v>
      </c>
      <c r="C129" s="77" t="s">
        <v>180</v>
      </c>
      <c r="D129" s="77">
        <v>2</v>
      </c>
      <c r="E129" s="77">
        <v>1</v>
      </c>
      <c r="F129" s="79">
        <f t="shared" si="1"/>
        <v>1188.027</v>
      </c>
      <c r="J129" s="78">
        <v>10738</v>
      </c>
      <c r="K129" s="78" t="s">
        <v>172</v>
      </c>
      <c r="L129" s="78">
        <v>1188.027</v>
      </c>
    </row>
    <row r="130" spans="1:12">
      <c r="A130" s="77">
        <v>35319</v>
      </c>
      <c r="B130" s="77">
        <v>10741</v>
      </c>
      <c r="C130" s="77" t="s">
        <v>180</v>
      </c>
      <c r="D130" s="77">
        <v>2.75</v>
      </c>
      <c r="E130" s="77">
        <v>1</v>
      </c>
      <c r="F130" s="79">
        <f t="shared" si="1"/>
        <v>1524.7619999999999</v>
      </c>
      <c r="J130" s="78">
        <v>10741</v>
      </c>
      <c r="K130" s="78" t="s">
        <v>173</v>
      </c>
      <c r="L130" s="78">
        <v>1524.7619999999999</v>
      </c>
    </row>
    <row r="131" spans="1:12">
      <c r="A131" s="77">
        <v>186933</v>
      </c>
      <c r="B131" s="77">
        <v>10752</v>
      </c>
      <c r="C131" s="77" t="s">
        <v>180</v>
      </c>
      <c r="D131" s="77">
        <v>2</v>
      </c>
      <c r="E131" s="77">
        <v>3</v>
      </c>
      <c r="F131" s="79">
        <f t="shared" ref="F131:F194" si="2">VLOOKUP(B131,$J$2:$L$1405,3,FALSE)</f>
        <v>4956.4930000000004</v>
      </c>
      <c r="J131" s="78">
        <v>10752</v>
      </c>
      <c r="K131" s="78" t="s">
        <v>173</v>
      </c>
      <c r="L131" s="78">
        <v>4956.4930000000004</v>
      </c>
    </row>
    <row r="132" spans="1:12">
      <c r="A132" s="77">
        <v>724647</v>
      </c>
      <c r="B132" s="77">
        <v>10764</v>
      </c>
      <c r="C132" s="77" t="s">
        <v>180</v>
      </c>
      <c r="D132" s="77">
        <v>2.5</v>
      </c>
      <c r="E132" s="77">
        <v>2</v>
      </c>
      <c r="F132" s="79">
        <f t="shared" si="2"/>
        <v>1524.7619999999999</v>
      </c>
      <c r="J132" s="78">
        <v>10764</v>
      </c>
      <c r="K132" s="78" t="s">
        <v>173</v>
      </c>
      <c r="L132" s="78">
        <v>1524.7619999999999</v>
      </c>
    </row>
    <row r="133" spans="1:12">
      <c r="A133" s="77">
        <v>65331</v>
      </c>
      <c r="B133" s="77">
        <v>10786</v>
      </c>
      <c r="C133" s="77" t="s">
        <v>180</v>
      </c>
      <c r="D133" s="77">
        <v>1.75</v>
      </c>
      <c r="E133" s="77">
        <v>1</v>
      </c>
      <c r="F133" s="79">
        <f t="shared" si="2"/>
        <v>2003.7159999999999</v>
      </c>
      <c r="J133" s="78">
        <v>10786</v>
      </c>
      <c r="K133" s="78" t="s">
        <v>173</v>
      </c>
      <c r="L133" s="78">
        <v>2003.7159999999999</v>
      </c>
    </row>
    <row r="134" spans="1:12">
      <c r="A134" s="77">
        <v>160807</v>
      </c>
      <c r="B134" s="77">
        <v>10795</v>
      </c>
      <c r="C134" s="77" t="s">
        <v>180</v>
      </c>
      <c r="D134" s="77">
        <v>3</v>
      </c>
      <c r="E134" s="77">
        <v>2</v>
      </c>
      <c r="F134" s="79">
        <f t="shared" si="2"/>
        <v>6932.7380000000003</v>
      </c>
      <c r="J134" s="78">
        <v>10795</v>
      </c>
      <c r="K134" s="78" t="s">
        <v>172</v>
      </c>
      <c r="L134" s="78">
        <v>6932.7380000000003</v>
      </c>
    </row>
    <row r="135" spans="1:12">
      <c r="A135" s="77">
        <v>182075</v>
      </c>
      <c r="B135" s="77">
        <v>10801</v>
      </c>
      <c r="C135" s="77" t="s">
        <v>180</v>
      </c>
      <c r="D135" s="77">
        <v>2</v>
      </c>
      <c r="E135" s="77">
        <v>1</v>
      </c>
      <c r="F135" s="79">
        <f t="shared" si="2"/>
        <v>4956.4930000000004</v>
      </c>
      <c r="J135" s="78">
        <v>10801</v>
      </c>
      <c r="K135" s="78" t="s">
        <v>173</v>
      </c>
      <c r="L135" s="78">
        <v>4956.4930000000004</v>
      </c>
    </row>
    <row r="136" spans="1:12">
      <c r="A136" s="77">
        <v>40530</v>
      </c>
      <c r="B136" s="77">
        <v>10807</v>
      </c>
      <c r="C136" s="77" t="s">
        <v>180</v>
      </c>
      <c r="D136" s="77">
        <v>1.75</v>
      </c>
      <c r="E136" s="77">
        <v>2</v>
      </c>
      <c r="F136" s="79">
        <f t="shared" si="2"/>
        <v>1524.7619999999999</v>
      </c>
      <c r="J136" s="78">
        <v>10807</v>
      </c>
      <c r="K136" s="78" t="s">
        <v>173</v>
      </c>
      <c r="L136" s="78">
        <v>1524.7619999999999</v>
      </c>
    </row>
    <row r="137" spans="1:12">
      <c r="A137" s="77">
        <v>163547</v>
      </c>
      <c r="B137" s="77">
        <v>10809</v>
      </c>
      <c r="C137" s="77" t="s">
        <v>180</v>
      </c>
      <c r="D137" s="77">
        <v>2</v>
      </c>
      <c r="E137" s="77">
        <v>3</v>
      </c>
      <c r="F137" s="79">
        <f t="shared" si="2"/>
        <v>4956.4930000000004</v>
      </c>
      <c r="J137" s="78">
        <v>10809</v>
      </c>
      <c r="K137" s="78" t="s">
        <v>173</v>
      </c>
      <c r="L137" s="78">
        <v>4956.4930000000004</v>
      </c>
    </row>
    <row r="138" spans="1:12">
      <c r="A138" s="77">
        <v>75741</v>
      </c>
      <c r="B138" s="77">
        <v>10811</v>
      </c>
      <c r="C138" s="77" t="s">
        <v>180</v>
      </c>
      <c r="D138" s="77">
        <v>1</v>
      </c>
      <c r="E138" s="77">
        <v>2</v>
      </c>
      <c r="F138" s="79">
        <f t="shared" si="2"/>
        <v>2003.7159999999999</v>
      </c>
      <c r="J138" s="78">
        <v>10811</v>
      </c>
      <c r="K138" s="78" t="s">
        <v>173</v>
      </c>
      <c r="L138" s="78">
        <v>2003.7159999999999</v>
      </c>
    </row>
    <row r="139" spans="1:12">
      <c r="A139" s="77">
        <v>83574</v>
      </c>
      <c r="B139" s="77">
        <v>10822</v>
      </c>
      <c r="C139" s="77" t="s">
        <v>180</v>
      </c>
      <c r="D139" s="77">
        <v>2.25</v>
      </c>
      <c r="E139" s="77">
        <v>2</v>
      </c>
      <c r="F139" s="79">
        <f t="shared" si="2"/>
        <v>2003.7159999999999</v>
      </c>
      <c r="J139" s="78">
        <v>10822</v>
      </c>
      <c r="K139" s="78" t="s">
        <v>173</v>
      </c>
      <c r="L139" s="78">
        <v>2003.7159999999999</v>
      </c>
    </row>
    <row r="140" spans="1:12">
      <c r="A140" s="77">
        <v>61273</v>
      </c>
      <c r="B140" s="77">
        <v>10823</v>
      </c>
      <c r="C140" s="77" t="s">
        <v>180</v>
      </c>
      <c r="D140" s="77">
        <v>2.5</v>
      </c>
      <c r="E140" s="77">
        <v>2</v>
      </c>
      <c r="F140" s="79">
        <f t="shared" si="2"/>
        <v>1524.7619999999999</v>
      </c>
      <c r="J140" s="78">
        <v>10823</v>
      </c>
      <c r="K140" s="78" t="s">
        <v>173</v>
      </c>
      <c r="L140" s="78">
        <v>1524.7619999999999</v>
      </c>
    </row>
    <row r="141" spans="1:12">
      <c r="A141" s="77">
        <v>35610</v>
      </c>
      <c r="B141" s="77">
        <v>10840</v>
      </c>
      <c r="C141" s="77" t="s">
        <v>180</v>
      </c>
      <c r="D141" s="77">
        <v>2</v>
      </c>
      <c r="E141" s="77">
        <v>1</v>
      </c>
      <c r="F141" s="79">
        <f t="shared" si="2"/>
        <v>1524.7619999999999</v>
      </c>
      <c r="J141" s="78">
        <v>10840</v>
      </c>
      <c r="K141" s="78" t="s">
        <v>173</v>
      </c>
      <c r="L141" s="78">
        <v>1524.7619999999999</v>
      </c>
    </row>
    <row r="142" spans="1:12">
      <c r="A142" s="77">
        <v>72724</v>
      </c>
      <c r="B142" s="77">
        <v>10843</v>
      </c>
      <c r="C142" s="77" t="s">
        <v>180</v>
      </c>
      <c r="D142" s="77">
        <v>1.75</v>
      </c>
      <c r="E142" s="77">
        <v>2</v>
      </c>
      <c r="F142" s="79">
        <f t="shared" si="2"/>
        <v>2003.7159999999999</v>
      </c>
      <c r="J142" s="78">
        <v>10843</v>
      </c>
      <c r="K142" s="78" t="s">
        <v>173</v>
      </c>
      <c r="L142" s="78">
        <v>2003.7159999999999</v>
      </c>
    </row>
    <row r="143" spans="1:12">
      <c r="A143" s="77">
        <v>50031</v>
      </c>
      <c r="B143" s="77">
        <v>10848</v>
      </c>
      <c r="C143" s="77" t="s">
        <v>180</v>
      </c>
      <c r="D143" s="77">
        <v>2</v>
      </c>
      <c r="E143" s="77">
        <v>1</v>
      </c>
      <c r="F143" s="79">
        <f t="shared" si="2"/>
        <v>1524.7619999999999</v>
      </c>
      <c r="J143" s="78">
        <v>10848</v>
      </c>
      <c r="K143" s="78" t="s">
        <v>173</v>
      </c>
      <c r="L143" s="78">
        <v>1524.7619999999999</v>
      </c>
    </row>
    <row r="144" spans="1:12">
      <c r="A144" s="77">
        <v>32891</v>
      </c>
      <c r="B144" s="77">
        <v>10852</v>
      </c>
      <c r="C144" s="77" t="s">
        <v>180</v>
      </c>
      <c r="D144" s="77">
        <v>5</v>
      </c>
      <c r="E144" s="77">
        <v>1</v>
      </c>
      <c r="F144" s="79">
        <f t="shared" si="2"/>
        <v>1188.027</v>
      </c>
      <c r="J144" s="78">
        <v>10852</v>
      </c>
      <c r="K144" s="78" t="s">
        <v>172</v>
      </c>
      <c r="L144" s="78">
        <v>1188.027</v>
      </c>
    </row>
    <row r="145" spans="1:12">
      <c r="A145" s="77">
        <v>62395</v>
      </c>
      <c r="B145" s="77">
        <v>10866</v>
      </c>
      <c r="C145" s="77" t="s">
        <v>180</v>
      </c>
      <c r="D145" s="77">
        <v>2</v>
      </c>
      <c r="E145" s="77">
        <v>2</v>
      </c>
      <c r="F145" s="79">
        <f t="shared" si="2"/>
        <v>2003.7159999999999</v>
      </c>
      <c r="J145" s="78">
        <v>10866</v>
      </c>
      <c r="K145" s="78" t="s">
        <v>173</v>
      </c>
      <c r="L145" s="78">
        <v>2003.7159999999999</v>
      </c>
    </row>
    <row r="146" spans="1:12">
      <c r="A146" s="77">
        <v>678196</v>
      </c>
      <c r="B146" s="77">
        <v>10887</v>
      </c>
      <c r="C146" s="77" t="s">
        <v>180</v>
      </c>
      <c r="D146" s="77">
        <v>1</v>
      </c>
      <c r="E146" s="77">
        <v>2</v>
      </c>
      <c r="F146" s="79">
        <f t="shared" si="2"/>
        <v>1464.694</v>
      </c>
      <c r="J146" s="78">
        <v>10887</v>
      </c>
      <c r="K146" s="78" t="s">
        <v>173</v>
      </c>
      <c r="L146" s="78">
        <v>1464.694</v>
      </c>
    </row>
    <row r="147" spans="1:12">
      <c r="A147" s="77">
        <v>29629</v>
      </c>
      <c r="B147" s="77">
        <v>10895</v>
      </c>
      <c r="C147" s="77" t="s">
        <v>180</v>
      </c>
      <c r="D147" s="77">
        <v>1.5</v>
      </c>
      <c r="E147" s="77">
        <v>2</v>
      </c>
      <c r="F147" s="79">
        <f t="shared" si="2"/>
        <v>1524.7619999999999</v>
      </c>
      <c r="J147" s="78">
        <v>10895</v>
      </c>
      <c r="K147" s="78" t="s">
        <v>173</v>
      </c>
      <c r="L147" s="78">
        <v>1524.7619999999999</v>
      </c>
    </row>
    <row r="148" spans="1:12">
      <c r="A148" s="77">
        <v>204713</v>
      </c>
      <c r="B148" s="77">
        <v>10911</v>
      </c>
      <c r="C148" s="77" t="s">
        <v>180</v>
      </c>
      <c r="D148" s="77">
        <v>3</v>
      </c>
      <c r="E148" s="77">
        <v>1</v>
      </c>
      <c r="F148" s="79">
        <f t="shared" si="2"/>
        <v>1464.694</v>
      </c>
      <c r="J148" s="78">
        <v>10911</v>
      </c>
      <c r="K148" s="78" t="s">
        <v>173</v>
      </c>
      <c r="L148" s="78">
        <v>1464.694</v>
      </c>
    </row>
    <row r="149" spans="1:12">
      <c r="A149" s="77">
        <v>233257</v>
      </c>
      <c r="B149" s="77">
        <v>10915</v>
      </c>
      <c r="C149" s="77" t="s">
        <v>180</v>
      </c>
      <c r="D149" s="77">
        <v>2.5</v>
      </c>
      <c r="E149" s="77">
        <v>1</v>
      </c>
      <c r="F149" s="79">
        <f t="shared" si="2"/>
        <v>1464.694</v>
      </c>
      <c r="J149" s="78">
        <v>10915</v>
      </c>
      <c r="K149" s="78" t="s">
        <v>173</v>
      </c>
      <c r="L149" s="78">
        <v>1464.694</v>
      </c>
    </row>
    <row r="150" spans="1:12">
      <c r="A150" s="77">
        <v>29457</v>
      </c>
      <c r="B150" s="77">
        <v>10927</v>
      </c>
      <c r="C150" s="77" t="s">
        <v>180</v>
      </c>
      <c r="D150" s="77">
        <v>1</v>
      </c>
      <c r="E150" s="77">
        <v>2</v>
      </c>
      <c r="F150" s="79">
        <f t="shared" si="2"/>
        <v>1524.7619999999999</v>
      </c>
      <c r="J150" s="78">
        <v>10927</v>
      </c>
      <c r="K150" s="78" t="s">
        <v>173</v>
      </c>
      <c r="L150" s="78">
        <v>1524.7619999999999</v>
      </c>
    </row>
    <row r="151" spans="1:12">
      <c r="A151" s="77">
        <v>117598</v>
      </c>
      <c r="B151" s="77">
        <v>10946</v>
      </c>
      <c r="C151" s="77" t="s">
        <v>180</v>
      </c>
      <c r="D151" s="77">
        <v>4.5</v>
      </c>
      <c r="E151" s="77">
        <v>2</v>
      </c>
      <c r="F151" s="79">
        <f t="shared" si="2"/>
        <v>4956.4930000000004</v>
      </c>
      <c r="J151" s="78">
        <v>10946</v>
      </c>
      <c r="K151" s="78" t="s">
        <v>173</v>
      </c>
      <c r="L151" s="78">
        <v>4956.4930000000004</v>
      </c>
    </row>
    <row r="152" spans="1:12">
      <c r="A152" s="77">
        <v>103749</v>
      </c>
      <c r="B152" s="77">
        <v>10948</v>
      </c>
      <c r="C152" s="77" t="s">
        <v>180</v>
      </c>
      <c r="D152" s="77">
        <v>2</v>
      </c>
      <c r="E152" s="77">
        <v>1</v>
      </c>
      <c r="F152" s="79">
        <f t="shared" si="2"/>
        <v>2003.7159999999999</v>
      </c>
      <c r="J152" s="78">
        <v>10948</v>
      </c>
      <c r="K152" s="78" t="s">
        <v>173</v>
      </c>
      <c r="L152" s="78">
        <v>2003.7159999999999</v>
      </c>
    </row>
    <row r="153" spans="1:12">
      <c r="A153" s="77">
        <v>107943</v>
      </c>
      <c r="B153" s="77">
        <v>10951</v>
      </c>
      <c r="C153" s="77" t="s">
        <v>180</v>
      </c>
      <c r="D153" s="77">
        <v>2.5</v>
      </c>
      <c r="E153" s="77">
        <v>2</v>
      </c>
      <c r="F153" s="79">
        <f t="shared" si="2"/>
        <v>4956.4930000000004</v>
      </c>
      <c r="J153" s="78">
        <v>10951</v>
      </c>
      <c r="K153" s="78" t="s">
        <v>173</v>
      </c>
      <c r="L153" s="78">
        <v>4956.4930000000004</v>
      </c>
    </row>
    <row r="154" spans="1:12">
      <c r="A154" s="77">
        <v>181327</v>
      </c>
      <c r="B154" s="77">
        <v>10965</v>
      </c>
      <c r="C154" s="77" t="s">
        <v>180</v>
      </c>
      <c r="D154" s="77">
        <v>1.5</v>
      </c>
      <c r="E154" s="77">
        <v>1</v>
      </c>
      <c r="F154" s="79">
        <f t="shared" si="2"/>
        <v>4956.4930000000004</v>
      </c>
      <c r="J154" s="78">
        <v>10965</v>
      </c>
      <c r="K154" s="78" t="s">
        <v>173</v>
      </c>
      <c r="L154" s="78">
        <v>4956.4930000000004</v>
      </c>
    </row>
    <row r="155" spans="1:12">
      <c r="A155" s="77">
        <v>30036</v>
      </c>
      <c r="B155" s="77">
        <v>10978</v>
      </c>
      <c r="C155" s="77" t="s">
        <v>180</v>
      </c>
      <c r="D155" s="77">
        <v>1</v>
      </c>
      <c r="E155" s="77">
        <v>1</v>
      </c>
      <c r="F155" s="79">
        <f t="shared" si="2"/>
        <v>1524.7619999999999</v>
      </c>
      <c r="J155" s="78">
        <v>10978</v>
      </c>
      <c r="K155" s="78" t="s">
        <v>173</v>
      </c>
      <c r="L155" s="78">
        <v>1524.7619999999999</v>
      </c>
    </row>
    <row r="156" spans="1:12">
      <c r="A156" s="77">
        <v>88556</v>
      </c>
      <c r="B156" s="77">
        <v>10986</v>
      </c>
      <c r="C156" s="77" t="s">
        <v>180</v>
      </c>
      <c r="D156" s="77">
        <v>1.75</v>
      </c>
      <c r="E156" s="77">
        <v>3</v>
      </c>
      <c r="F156" s="79">
        <f t="shared" si="2"/>
        <v>2003.7159999999999</v>
      </c>
      <c r="J156" s="78">
        <v>10986</v>
      </c>
      <c r="K156" s="78" t="s">
        <v>173</v>
      </c>
      <c r="L156" s="78">
        <v>2003.7159999999999</v>
      </c>
    </row>
    <row r="157" spans="1:12">
      <c r="A157" s="77">
        <v>62554</v>
      </c>
      <c r="B157" s="77">
        <v>10990</v>
      </c>
      <c r="C157" s="77" t="s">
        <v>180</v>
      </c>
      <c r="D157" s="77">
        <v>2.5</v>
      </c>
      <c r="E157" s="77">
        <v>2</v>
      </c>
      <c r="F157" s="79">
        <f t="shared" si="2"/>
        <v>2003.7159999999999</v>
      </c>
      <c r="J157" s="78">
        <v>10990</v>
      </c>
      <c r="K157" s="78" t="s">
        <v>173</v>
      </c>
      <c r="L157" s="78">
        <v>2003.7159999999999</v>
      </c>
    </row>
    <row r="158" spans="1:12">
      <c r="A158" s="77">
        <v>212844</v>
      </c>
      <c r="B158" s="77">
        <v>10995</v>
      </c>
      <c r="C158" s="77" t="s">
        <v>180</v>
      </c>
      <c r="D158" s="77">
        <v>2</v>
      </c>
      <c r="E158" s="77">
        <v>2</v>
      </c>
      <c r="F158" s="79">
        <f t="shared" si="2"/>
        <v>4956.4930000000004</v>
      </c>
      <c r="J158" s="78">
        <v>10995</v>
      </c>
      <c r="K158" s="78" t="s">
        <v>173</v>
      </c>
      <c r="L158" s="78">
        <v>4956.4930000000004</v>
      </c>
    </row>
    <row r="159" spans="1:12">
      <c r="A159" s="77">
        <v>100417</v>
      </c>
      <c r="B159" s="77">
        <v>11003</v>
      </c>
      <c r="C159" s="77" t="s">
        <v>180</v>
      </c>
      <c r="D159" s="77">
        <v>3.25</v>
      </c>
      <c r="E159" s="77">
        <v>1</v>
      </c>
      <c r="F159" s="79">
        <f t="shared" si="2"/>
        <v>2003.7159999999999</v>
      </c>
      <c r="J159" s="78">
        <v>11003</v>
      </c>
      <c r="K159" s="78" t="s">
        <v>173</v>
      </c>
      <c r="L159" s="78">
        <v>2003.7159999999999</v>
      </c>
    </row>
    <row r="160" spans="1:12">
      <c r="A160" s="77">
        <v>29839</v>
      </c>
      <c r="B160" s="77">
        <v>11006</v>
      </c>
      <c r="C160" s="77" t="s">
        <v>180</v>
      </c>
      <c r="D160" s="77">
        <v>3</v>
      </c>
      <c r="E160" s="77">
        <v>1</v>
      </c>
      <c r="F160" s="79">
        <f t="shared" si="2"/>
        <v>1524.7619999999999</v>
      </c>
      <c r="J160" s="78">
        <v>11006</v>
      </c>
      <c r="K160" s="78" t="s">
        <v>173</v>
      </c>
      <c r="L160" s="78">
        <v>1524.7619999999999</v>
      </c>
    </row>
    <row r="161" spans="1:12">
      <c r="A161" s="77">
        <v>37864</v>
      </c>
      <c r="B161" s="77">
        <v>11014</v>
      </c>
      <c r="C161" s="77" t="s">
        <v>180</v>
      </c>
      <c r="D161" s="77">
        <v>1.75</v>
      </c>
      <c r="E161" s="77">
        <v>2</v>
      </c>
      <c r="F161" s="79">
        <f t="shared" si="2"/>
        <v>1188.027</v>
      </c>
      <c r="J161" s="78">
        <v>11014</v>
      </c>
      <c r="K161" s="78" t="s">
        <v>172</v>
      </c>
      <c r="L161" s="78">
        <v>1188.027</v>
      </c>
    </row>
    <row r="162" spans="1:12">
      <c r="A162" s="77">
        <v>724792</v>
      </c>
      <c r="B162" s="77">
        <v>11021</v>
      </c>
      <c r="C162" s="77" t="s">
        <v>180</v>
      </c>
      <c r="D162" s="77">
        <v>2.1</v>
      </c>
      <c r="E162" s="77">
        <v>1</v>
      </c>
      <c r="F162" s="79">
        <f t="shared" si="2"/>
        <v>1464.694</v>
      </c>
      <c r="J162" s="78">
        <v>11021</v>
      </c>
      <c r="K162" s="78" t="s">
        <v>173</v>
      </c>
      <c r="L162" s="78">
        <v>1464.694</v>
      </c>
    </row>
    <row r="163" spans="1:12">
      <c r="A163" s="77">
        <v>227258</v>
      </c>
      <c r="B163" s="77">
        <v>11030</v>
      </c>
      <c r="C163" s="77" t="s">
        <v>180</v>
      </c>
      <c r="D163" s="77">
        <v>2.25</v>
      </c>
      <c r="E163" s="77">
        <v>1</v>
      </c>
      <c r="F163" s="79">
        <f t="shared" si="2"/>
        <v>1464.694</v>
      </c>
      <c r="J163" s="78">
        <v>11030</v>
      </c>
      <c r="K163" s="78" t="s">
        <v>173</v>
      </c>
      <c r="L163" s="78">
        <v>1464.694</v>
      </c>
    </row>
    <row r="164" spans="1:12">
      <c r="A164" s="77">
        <v>31829</v>
      </c>
      <c r="B164" s="77">
        <v>11032</v>
      </c>
      <c r="C164" s="77" t="s">
        <v>180</v>
      </c>
      <c r="D164" s="77">
        <v>3</v>
      </c>
      <c r="E164" s="77">
        <v>1</v>
      </c>
      <c r="F164" s="79">
        <f t="shared" si="2"/>
        <v>1188.027</v>
      </c>
      <c r="J164" s="78">
        <v>11032</v>
      </c>
      <c r="K164" s="78" t="s">
        <v>172</v>
      </c>
      <c r="L164" s="78">
        <v>1188.027</v>
      </c>
    </row>
    <row r="165" spans="1:12">
      <c r="A165" s="77">
        <v>33076</v>
      </c>
      <c r="B165" s="77">
        <v>11035</v>
      </c>
      <c r="C165" s="77" t="s">
        <v>180</v>
      </c>
      <c r="D165" s="77">
        <v>4.4000000000000004</v>
      </c>
      <c r="E165" s="77">
        <v>5</v>
      </c>
      <c r="F165" s="79">
        <f t="shared" si="2"/>
        <v>1150.8789999999999</v>
      </c>
      <c r="J165" s="78">
        <v>11035</v>
      </c>
      <c r="K165" s="78" t="s">
        <v>173</v>
      </c>
      <c r="L165" s="78">
        <v>1150.8789999999999</v>
      </c>
    </row>
    <row r="166" spans="1:12">
      <c r="A166" s="77">
        <v>70858</v>
      </c>
      <c r="B166" s="77">
        <v>11041</v>
      </c>
      <c r="C166" s="77" t="s">
        <v>180</v>
      </c>
      <c r="D166" s="77">
        <v>2</v>
      </c>
      <c r="E166" s="77">
        <v>2</v>
      </c>
      <c r="F166" s="79">
        <f t="shared" si="2"/>
        <v>1524.7619999999999</v>
      </c>
      <c r="J166" s="78">
        <v>11041</v>
      </c>
      <c r="K166" s="78" t="s">
        <v>173</v>
      </c>
      <c r="L166" s="78">
        <v>1524.7619999999999</v>
      </c>
    </row>
    <row r="167" spans="1:12">
      <c r="A167" s="77">
        <v>29031</v>
      </c>
      <c r="B167" s="77">
        <v>11047</v>
      </c>
      <c r="C167" s="77" t="s">
        <v>180</v>
      </c>
      <c r="D167" s="77">
        <v>2.25</v>
      </c>
      <c r="E167" s="77">
        <v>1</v>
      </c>
      <c r="F167" s="79">
        <f t="shared" si="2"/>
        <v>1524.7619999999999</v>
      </c>
      <c r="J167" s="78">
        <v>11047</v>
      </c>
      <c r="K167" s="78" t="s">
        <v>173</v>
      </c>
      <c r="L167" s="78">
        <v>1524.7619999999999</v>
      </c>
    </row>
    <row r="168" spans="1:12">
      <c r="A168" s="77">
        <v>110465</v>
      </c>
      <c r="B168" s="77">
        <v>11048</v>
      </c>
      <c r="C168" s="77" t="s">
        <v>180</v>
      </c>
      <c r="D168" s="77">
        <v>2</v>
      </c>
      <c r="E168" s="77">
        <v>2</v>
      </c>
      <c r="F168" s="79">
        <f t="shared" si="2"/>
        <v>1464.694</v>
      </c>
      <c r="J168" s="78">
        <v>11048</v>
      </c>
      <c r="K168" s="78" t="s">
        <v>173</v>
      </c>
      <c r="L168" s="78">
        <v>1464.694</v>
      </c>
    </row>
    <row r="169" spans="1:12">
      <c r="A169" s="77">
        <v>159813</v>
      </c>
      <c r="B169" s="77">
        <v>11051</v>
      </c>
      <c r="C169" s="77" t="s">
        <v>180</v>
      </c>
      <c r="D169" s="77">
        <v>2.2000000000000002</v>
      </c>
      <c r="E169" s="77">
        <v>1</v>
      </c>
      <c r="F169" s="79">
        <f t="shared" si="2"/>
        <v>6932.7380000000003</v>
      </c>
      <c r="J169" s="78">
        <v>11051</v>
      </c>
      <c r="K169" s="78" t="s">
        <v>172</v>
      </c>
      <c r="L169" s="78">
        <v>6932.7380000000003</v>
      </c>
    </row>
    <row r="170" spans="1:12">
      <c r="A170" s="77">
        <v>130969</v>
      </c>
      <c r="B170" s="77">
        <v>11054</v>
      </c>
      <c r="C170" s="77" t="s">
        <v>180</v>
      </c>
      <c r="D170" s="77">
        <v>2</v>
      </c>
      <c r="E170" s="77">
        <v>1</v>
      </c>
      <c r="F170" s="79">
        <f t="shared" si="2"/>
        <v>2003.7159999999999</v>
      </c>
      <c r="J170" s="78">
        <v>11054</v>
      </c>
      <c r="K170" s="78" t="s">
        <v>173</v>
      </c>
      <c r="L170" s="78">
        <v>2003.7159999999999</v>
      </c>
    </row>
    <row r="171" spans="1:12">
      <c r="A171" s="77">
        <v>802743</v>
      </c>
      <c r="B171" s="77">
        <v>11055</v>
      </c>
      <c r="C171" s="77" t="s">
        <v>180</v>
      </c>
      <c r="D171" s="77">
        <v>2.5</v>
      </c>
      <c r="E171" s="77">
        <v>4</v>
      </c>
      <c r="F171" s="79">
        <f t="shared" si="2"/>
        <v>1464.694</v>
      </c>
      <c r="J171" s="78">
        <v>11055</v>
      </c>
      <c r="K171" s="78" t="s">
        <v>173</v>
      </c>
      <c r="L171" s="78">
        <v>1464.694</v>
      </c>
    </row>
    <row r="172" spans="1:12">
      <c r="A172" s="77">
        <v>160482</v>
      </c>
      <c r="B172" s="77">
        <v>11061</v>
      </c>
      <c r="C172" s="77" t="s">
        <v>180</v>
      </c>
      <c r="D172" s="77">
        <v>4</v>
      </c>
      <c r="E172" s="77">
        <v>3</v>
      </c>
      <c r="F172" s="79">
        <f t="shared" si="2"/>
        <v>6932.7380000000003</v>
      </c>
      <c r="J172" s="78">
        <v>11061</v>
      </c>
      <c r="K172" s="78" t="s">
        <v>172</v>
      </c>
      <c r="L172" s="78">
        <v>6932.7380000000003</v>
      </c>
    </row>
    <row r="173" spans="1:12">
      <c r="A173" s="77">
        <v>91266</v>
      </c>
      <c r="B173" s="77">
        <v>11084</v>
      </c>
      <c r="C173" s="77" t="s">
        <v>180</v>
      </c>
      <c r="D173" s="77">
        <v>1.75</v>
      </c>
      <c r="E173" s="77">
        <v>1</v>
      </c>
      <c r="F173" s="79">
        <f t="shared" si="2"/>
        <v>2003.7159999999999</v>
      </c>
      <c r="J173" s="78">
        <v>11084</v>
      </c>
      <c r="K173" s="78" t="s">
        <v>173</v>
      </c>
      <c r="L173" s="78">
        <v>2003.7159999999999</v>
      </c>
    </row>
    <row r="174" spans="1:12">
      <c r="A174" s="77">
        <v>115090</v>
      </c>
      <c r="B174" s="77">
        <v>11086</v>
      </c>
      <c r="C174" s="77" t="s">
        <v>180</v>
      </c>
      <c r="D174" s="77">
        <v>2</v>
      </c>
      <c r="E174" s="77">
        <v>1</v>
      </c>
      <c r="F174" s="79">
        <f t="shared" si="2"/>
        <v>4956.4930000000004</v>
      </c>
      <c r="J174" s="78">
        <v>11086</v>
      </c>
      <c r="K174" s="78" t="s">
        <v>173</v>
      </c>
      <c r="L174" s="78">
        <v>4956.4930000000004</v>
      </c>
    </row>
    <row r="175" spans="1:12">
      <c r="A175" s="77">
        <v>72443</v>
      </c>
      <c r="B175" s="77">
        <v>11089</v>
      </c>
      <c r="C175" s="77" t="s">
        <v>180</v>
      </c>
      <c r="D175" s="77">
        <v>2.25</v>
      </c>
      <c r="E175" s="77">
        <v>2</v>
      </c>
      <c r="F175" s="79">
        <f t="shared" si="2"/>
        <v>2003.7159999999999</v>
      </c>
      <c r="J175" s="78">
        <v>11089</v>
      </c>
      <c r="K175" s="78" t="s">
        <v>173</v>
      </c>
      <c r="L175" s="78">
        <v>2003.7159999999999</v>
      </c>
    </row>
    <row r="176" spans="1:12">
      <c r="A176" s="77">
        <v>27103</v>
      </c>
      <c r="B176" s="77">
        <v>11094</v>
      </c>
      <c r="C176" s="77" t="s">
        <v>180</v>
      </c>
      <c r="D176" s="77">
        <v>2</v>
      </c>
      <c r="E176" s="77">
        <v>1</v>
      </c>
      <c r="F176" s="79">
        <f t="shared" si="2"/>
        <v>1524.7619999999999</v>
      </c>
      <c r="J176" s="78">
        <v>11094</v>
      </c>
      <c r="K176" s="78" t="s">
        <v>173</v>
      </c>
      <c r="L176" s="78">
        <v>1524.7619999999999</v>
      </c>
    </row>
    <row r="177" spans="1:12">
      <c r="A177" s="77">
        <v>56572</v>
      </c>
      <c r="B177" s="77">
        <v>11110</v>
      </c>
      <c r="C177" s="77" t="s">
        <v>180</v>
      </c>
      <c r="D177" s="77">
        <v>2</v>
      </c>
      <c r="E177" s="77">
        <v>2</v>
      </c>
      <c r="F177" s="79">
        <f t="shared" si="2"/>
        <v>1188.027</v>
      </c>
      <c r="J177" s="78">
        <v>11110</v>
      </c>
      <c r="K177" s="78" t="s">
        <v>172</v>
      </c>
      <c r="L177" s="78">
        <v>1188.027</v>
      </c>
    </row>
    <row r="178" spans="1:12">
      <c r="A178" s="77">
        <v>234274</v>
      </c>
      <c r="B178" s="77">
        <v>11118</v>
      </c>
      <c r="C178" s="77" t="s">
        <v>180</v>
      </c>
      <c r="D178" s="77">
        <v>2</v>
      </c>
      <c r="E178" s="77">
        <v>2</v>
      </c>
      <c r="F178" s="79">
        <f t="shared" si="2"/>
        <v>1150.8789999999999</v>
      </c>
      <c r="J178" s="78">
        <v>11118</v>
      </c>
      <c r="K178" s="78" t="s">
        <v>173</v>
      </c>
      <c r="L178" s="78">
        <v>1150.8789999999999</v>
      </c>
    </row>
    <row r="179" spans="1:12">
      <c r="A179" s="77">
        <v>72606</v>
      </c>
      <c r="B179" s="77">
        <v>11119</v>
      </c>
      <c r="C179" s="77" t="s">
        <v>180</v>
      </c>
      <c r="D179" s="77">
        <v>1.75</v>
      </c>
      <c r="E179" s="77">
        <v>2</v>
      </c>
      <c r="F179" s="79">
        <f t="shared" si="2"/>
        <v>2003.7159999999999</v>
      </c>
      <c r="J179" s="78">
        <v>11119</v>
      </c>
      <c r="K179" s="78" t="s">
        <v>173</v>
      </c>
      <c r="L179" s="78">
        <v>2003.7159999999999</v>
      </c>
    </row>
    <row r="180" spans="1:12">
      <c r="A180" s="77">
        <v>28511</v>
      </c>
      <c r="B180" s="77">
        <v>11138</v>
      </c>
      <c r="C180" s="77" t="s">
        <v>180</v>
      </c>
      <c r="D180" s="77">
        <v>2</v>
      </c>
      <c r="E180" s="77">
        <v>2</v>
      </c>
      <c r="F180" s="79">
        <f t="shared" si="2"/>
        <v>1524.7619999999999</v>
      </c>
      <c r="J180" s="78">
        <v>11138</v>
      </c>
      <c r="K180" s="78" t="s">
        <v>173</v>
      </c>
      <c r="L180" s="78">
        <v>1524.7619999999999</v>
      </c>
    </row>
    <row r="181" spans="1:12">
      <c r="A181" s="77">
        <v>181601</v>
      </c>
      <c r="B181" s="77">
        <v>11145</v>
      </c>
      <c r="C181" s="77" t="s">
        <v>180</v>
      </c>
      <c r="D181" s="77">
        <v>1.5</v>
      </c>
      <c r="E181" s="77">
        <v>2</v>
      </c>
      <c r="F181" s="79">
        <f t="shared" si="2"/>
        <v>4956.4930000000004</v>
      </c>
      <c r="J181" s="78">
        <v>11145</v>
      </c>
      <c r="K181" s="78" t="s">
        <v>173</v>
      </c>
      <c r="L181" s="78">
        <v>4956.4930000000004</v>
      </c>
    </row>
    <row r="182" spans="1:12">
      <c r="A182" s="77">
        <v>174422</v>
      </c>
      <c r="B182" s="77">
        <v>11154</v>
      </c>
      <c r="C182" s="77" t="s">
        <v>180</v>
      </c>
      <c r="D182" s="77">
        <v>4</v>
      </c>
      <c r="E182" s="77">
        <v>2</v>
      </c>
      <c r="F182" s="79">
        <f t="shared" si="2"/>
        <v>6932.7380000000003</v>
      </c>
      <c r="J182" s="78">
        <v>11154</v>
      </c>
      <c r="K182" s="78" t="s">
        <v>172</v>
      </c>
      <c r="L182" s="78">
        <v>6932.7380000000003</v>
      </c>
    </row>
    <row r="183" spans="1:12">
      <c r="A183" s="77">
        <v>120917</v>
      </c>
      <c r="B183" s="77">
        <v>11163</v>
      </c>
      <c r="C183" s="77" t="s">
        <v>180</v>
      </c>
      <c r="D183" s="77">
        <v>2</v>
      </c>
      <c r="E183" s="77">
        <v>2</v>
      </c>
      <c r="F183" s="79">
        <f t="shared" si="2"/>
        <v>4956.4930000000004</v>
      </c>
      <c r="J183" s="78">
        <v>11163</v>
      </c>
      <c r="K183" s="78" t="s">
        <v>173</v>
      </c>
      <c r="L183" s="78">
        <v>4956.4930000000004</v>
      </c>
    </row>
    <row r="184" spans="1:12">
      <c r="A184" s="77">
        <v>28386</v>
      </c>
      <c r="B184" s="77">
        <v>11178</v>
      </c>
      <c r="C184" s="77" t="s">
        <v>180</v>
      </c>
      <c r="D184" s="77">
        <v>1.25</v>
      </c>
      <c r="E184" s="77">
        <v>3</v>
      </c>
      <c r="F184" s="79">
        <f t="shared" si="2"/>
        <v>1524.7619999999999</v>
      </c>
      <c r="J184" s="78">
        <v>11178</v>
      </c>
      <c r="K184" s="78" t="s">
        <v>173</v>
      </c>
      <c r="L184" s="78">
        <v>1524.7619999999999</v>
      </c>
    </row>
    <row r="185" spans="1:12">
      <c r="A185" s="77">
        <v>41666</v>
      </c>
      <c r="B185" s="77">
        <v>11187</v>
      </c>
      <c r="C185" s="77" t="s">
        <v>180</v>
      </c>
      <c r="D185" s="77">
        <v>2.25</v>
      </c>
      <c r="E185" s="77">
        <v>1</v>
      </c>
      <c r="F185" s="79">
        <f t="shared" si="2"/>
        <v>1524.7619999999999</v>
      </c>
      <c r="J185" s="78">
        <v>11187</v>
      </c>
      <c r="K185" s="78" t="s">
        <v>173</v>
      </c>
      <c r="L185" s="78">
        <v>1524.7619999999999</v>
      </c>
    </row>
    <row r="186" spans="1:12">
      <c r="A186" s="77">
        <v>98820</v>
      </c>
      <c r="B186" s="77">
        <v>11194</v>
      </c>
      <c r="C186" s="77" t="s">
        <v>180</v>
      </c>
      <c r="D186" s="77">
        <v>2</v>
      </c>
      <c r="E186" s="77">
        <v>2</v>
      </c>
      <c r="F186" s="79">
        <f t="shared" si="2"/>
        <v>4956.4930000000004</v>
      </c>
      <c r="J186" s="78">
        <v>11194</v>
      </c>
      <c r="K186" s="78" t="s">
        <v>173</v>
      </c>
      <c r="L186" s="78">
        <v>4956.4930000000004</v>
      </c>
    </row>
    <row r="187" spans="1:12">
      <c r="A187" s="77">
        <v>57049</v>
      </c>
      <c r="B187" s="77">
        <v>11210</v>
      </c>
      <c r="C187" s="77" t="s">
        <v>180</v>
      </c>
      <c r="D187" s="77">
        <v>2</v>
      </c>
      <c r="E187" s="77">
        <v>2</v>
      </c>
      <c r="F187" s="79">
        <f t="shared" si="2"/>
        <v>1524.7619999999999</v>
      </c>
      <c r="J187" s="78">
        <v>11210</v>
      </c>
      <c r="K187" s="78" t="s">
        <v>173</v>
      </c>
      <c r="L187" s="78">
        <v>1524.7619999999999</v>
      </c>
    </row>
    <row r="188" spans="1:12">
      <c r="A188" s="77">
        <v>104870</v>
      </c>
      <c r="B188" s="77">
        <v>11217</v>
      </c>
      <c r="C188" s="77" t="s">
        <v>180</v>
      </c>
      <c r="D188" s="77">
        <v>2</v>
      </c>
      <c r="E188" s="77">
        <v>1</v>
      </c>
      <c r="F188" s="79">
        <f t="shared" si="2"/>
        <v>4956.4930000000004</v>
      </c>
      <c r="J188" s="78">
        <v>11217</v>
      </c>
      <c r="K188" s="78" t="s">
        <v>173</v>
      </c>
      <c r="L188" s="78">
        <v>4956.4930000000004</v>
      </c>
    </row>
    <row r="189" spans="1:12">
      <c r="A189" s="77">
        <v>720710</v>
      </c>
      <c r="B189" s="77">
        <v>11219</v>
      </c>
      <c r="C189" s="77" t="s">
        <v>180</v>
      </c>
      <c r="D189" s="77">
        <v>2.5</v>
      </c>
      <c r="E189" s="77">
        <v>1</v>
      </c>
      <c r="F189" s="79">
        <f t="shared" si="2"/>
        <v>4956.4930000000004</v>
      </c>
      <c r="J189" s="78">
        <v>11219</v>
      </c>
      <c r="K189" s="78" t="s">
        <v>173</v>
      </c>
      <c r="L189" s="78">
        <v>4956.4930000000004</v>
      </c>
    </row>
    <row r="190" spans="1:12">
      <c r="A190" s="77">
        <v>160611</v>
      </c>
      <c r="B190" s="77">
        <v>11221</v>
      </c>
      <c r="C190" s="77" t="s">
        <v>180</v>
      </c>
      <c r="D190" s="77">
        <v>3</v>
      </c>
      <c r="E190" s="77">
        <v>2</v>
      </c>
      <c r="F190" s="79">
        <f t="shared" si="2"/>
        <v>6932.7380000000003</v>
      </c>
      <c r="J190" s="78">
        <v>11221</v>
      </c>
      <c r="K190" s="78" t="s">
        <v>172</v>
      </c>
      <c r="L190" s="78">
        <v>6932.7380000000003</v>
      </c>
    </row>
    <row r="191" spans="1:12">
      <c r="A191" s="77">
        <v>109479</v>
      </c>
      <c r="B191" s="77">
        <v>11222</v>
      </c>
      <c r="C191" s="77" t="s">
        <v>180</v>
      </c>
      <c r="D191" s="77">
        <v>3.25</v>
      </c>
      <c r="E191" s="77">
        <v>1</v>
      </c>
      <c r="F191" s="79">
        <f t="shared" si="2"/>
        <v>4956.4930000000004</v>
      </c>
      <c r="J191" s="78">
        <v>11222</v>
      </c>
      <c r="K191" s="78" t="s">
        <v>173</v>
      </c>
      <c r="L191" s="78">
        <v>4956.4930000000004</v>
      </c>
    </row>
    <row r="192" spans="1:12">
      <c r="A192" s="77">
        <v>125935</v>
      </c>
      <c r="B192" s="77">
        <v>11233</v>
      </c>
      <c r="C192" s="77" t="s">
        <v>180</v>
      </c>
      <c r="D192" s="77">
        <v>2.5</v>
      </c>
      <c r="E192" s="77">
        <v>2</v>
      </c>
      <c r="F192" s="79">
        <f t="shared" si="2"/>
        <v>4956.4930000000004</v>
      </c>
      <c r="J192" s="78">
        <v>11233</v>
      </c>
      <c r="K192" s="78" t="s">
        <v>173</v>
      </c>
      <c r="L192" s="78">
        <v>4956.4930000000004</v>
      </c>
    </row>
    <row r="193" spans="1:12">
      <c r="A193" s="77">
        <v>91552</v>
      </c>
      <c r="B193" s="77">
        <v>11236</v>
      </c>
      <c r="C193" s="77" t="s">
        <v>180</v>
      </c>
      <c r="D193" s="77">
        <v>2</v>
      </c>
      <c r="E193" s="77">
        <v>2</v>
      </c>
      <c r="F193" s="79">
        <f t="shared" si="2"/>
        <v>4956.4930000000004</v>
      </c>
      <c r="J193" s="78">
        <v>11236</v>
      </c>
      <c r="K193" s="78" t="s">
        <v>173</v>
      </c>
      <c r="L193" s="78">
        <v>4956.4930000000004</v>
      </c>
    </row>
    <row r="194" spans="1:12">
      <c r="A194" s="77">
        <v>114415</v>
      </c>
      <c r="B194" s="77">
        <v>11246</v>
      </c>
      <c r="C194" s="77" t="s">
        <v>180</v>
      </c>
      <c r="E194" s="77">
        <v>1</v>
      </c>
      <c r="F194" s="79">
        <f t="shared" si="2"/>
        <v>1524.7619999999999</v>
      </c>
      <c r="J194" s="78">
        <v>11246</v>
      </c>
      <c r="K194" s="78" t="s">
        <v>173</v>
      </c>
      <c r="L194" s="78">
        <v>1524.7619999999999</v>
      </c>
    </row>
    <row r="195" spans="1:12">
      <c r="A195" s="77">
        <v>47817</v>
      </c>
      <c r="B195" s="77">
        <v>11273</v>
      </c>
      <c r="C195" s="77" t="s">
        <v>180</v>
      </c>
      <c r="D195" s="77">
        <v>2.75</v>
      </c>
      <c r="E195" s="77">
        <v>3</v>
      </c>
      <c r="F195" s="79">
        <f t="shared" ref="F195:F258" si="3">VLOOKUP(B195,$J$2:$L$1405,3,FALSE)</f>
        <v>1524.7619999999999</v>
      </c>
      <c r="J195" s="78">
        <v>11273</v>
      </c>
      <c r="K195" s="78" t="s">
        <v>173</v>
      </c>
      <c r="L195" s="78">
        <v>1524.7619999999999</v>
      </c>
    </row>
    <row r="196" spans="1:12">
      <c r="A196" s="77">
        <v>201217</v>
      </c>
      <c r="B196" s="77">
        <v>11282</v>
      </c>
      <c r="C196" s="77" t="s">
        <v>180</v>
      </c>
      <c r="D196" s="77">
        <v>1.6</v>
      </c>
      <c r="E196" s="77">
        <v>2</v>
      </c>
      <c r="F196" s="79">
        <f t="shared" si="3"/>
        <v>6932.7380000000003</v>
      </c>
      <c r="J196" s="78">
        <v>11282</v>
      </c>
      <c r="K196" s="78" t="s">
        <v>172</v>
      </c>
      <c r="L196" s="78">
        <v>6932.7380000000003</v>
      </c>
    </row>
    <row r="197" spans="1:12">
      <c r="A197" s="77">
        <v>159652</v>
      </c>
      <c r="B197" s="77">
        <v>11283</v>
      </c>
      <c r="C197" s="77" t="s">
        <v>180</v>
      </c>
      <c r="D197" s="77">
        <v>2.4</v>
      </c>
      <c r="E197" s="77">
        <v>3</v>
      </c>
      <c r="F197" s="79">
        <f t="shared" si="3"/>
        <v>6932.7380000000003</v>
      </c>
      <c r="J197" s="78">
        <v>11283</v>
      </c>
      <c r="K197" s="78" t="s">
        <v>172</v>
      </c>
      <c r="L197" s="78">
        <v>6932.7380000000003</v>
      </c>
    </row>
    <row r="198" spans="1:12">
      <c r="A198" s="77">
        <v>48493</v>
      </c>
      <c r="B198" s="77">
        <v>11284</v>
      </c>
      <c r="C198" s="77" t="s">
        <v>180</v>
      </c>
      <c r="D198" s="77">
        <v>1.25</v>
      </c>
      <c r="E198" s="77">
        <v>1</v>
      </c>
      <c r="F198" s="79">
        <f t="shared" si="3"/>
        <v>1524.7619999999999</v>
      </c>
      <c r="J198" s="78">
        <v>11284</v>
      </c>
      <c r="K198" s="78" t="s">
        <v>173</v>
      </c>
      <c r="L198" s="78">
        <v>1524.7619999999999</v>
      </c>
    </row>
    <row r="199" spans="1:12">
      <c r="A199" s="77">
        <v>58469</v>
      </c>
      <c r="B199" s="77">
        <v>11289</v>
      </c>
      <c r="C199" s="77" t="s">
        <v>180</v>
      </c>
      <c r="D199" s="77">
        <v>1.25</v>
      </c>
      <c r="E199" s="77">
        <v>2</v>
      </c>
      <c r="F199" s="79">
        <f t="shared" si="3"/>
        <v>1524.7619999999999</v>
      </c>
      <c r="J199" s="78">
        <v>11289</v>
      </c>
      <c r="K199" s="78" t="s">
        <v>173</v>
      </c>
      <c r="L199" s="78">
        <v>1524.7619999999999</v>
      </c>
    </row>
    <row r="200" spans="1:12">
      <c r="A200" s="77">
        <v>78421</v>
      </c>
      <c r="B200" s="77">
        <v>11302</v>
      </c>
      <c r="C200" s="77" t="s">
        <v>180</v>
      </c>
      <c r="D200" s="77">
        <v>2</v>
      </c>
      <c r="E200" s="77">
        <v>2</v>
      </c>
      <c r="F200" s="79">
        <f t="shared" si="3"/>
        <v>1524.7619999999999</v>
      </c>
      <c r="J200" s="78">
        <v>11302</v>
      </c>
      <c r="K200" s="78" t="s">
        <v>173</v>
      </c>
      <c r="L200" s="78">
        <v>1524.7619999999999</v>
      </c>
    </row>
    <row r="201" spans="1:12">
      <c r="A201" s="77">
        <v>55981</v>
      </c>
      <c r="B201" s="77">
        <v>11315</v>
      </c>
      <c r="C201" s="77" t="s">
        <v>180</v>
      </c>
      <c r="D201" s="77">
        <v>2.5</v>
      </c>
      <c r="E201" s="77">
        <v>1</v>
      </c>
      <c r="F201" s="79">
        <f t="shared" si="3"/>
        <v>1188.027</v>
      </c>
      <c r="J201" s="78">
        <v>11315</v>
      </c>
      <c r="K201" s="78" t="s">
        <v>172</v>
      </c>
      <c r="L201" s="78">
        <v>1188.027</v>
      </c>
    </row>
    <row r="202" spans="1:12">
      <c r="A202" s="77">
        <v>147905</v>
      </c>
      <c r="B202" s="77">
        <v>11317</v>
      </c>
      <c r="C202" s="77" t="s">
        <v>180</v>
      </c>
      <c r="D202" s="77">
        <v>2</v>
      </c>
      <c r="E202" s="77">
        <v>1</v>
      </c>
      <c r="F202" s="79">
        <f t="shared" si="3"/>
        <v>6932.7380000000003</v>
      </c>
      <c r="J202" s="78">
        <v>11317</v>
      </c>
      <c r="K202" s="78" t="s">
        <v>172</v>
      </c>
      <c r="L202" s="78">
        <v>6932.7380000000003</v>
      </c>
    </row>
    <row r="203" spans="1:12">
      <c r="A203" s="77">
        <v>66852</v>
      </c>
      <c r="B203" s="77">
        <v>11323</v>
      </c>
      <c r="C203" s="77" t="s">
        <v>180</v>
      </c>
      <c r="D203" s="77">
        <v>1.75</v>
      </c>
      <c r="E203" s="77">
        <v>2</v>
      </c>
      <c r="F203" s="79">
        <f t="shared" si="3"/>
        <v>2003.7159999999999</v>
      </c>
      <c r="J203" s="78">
        <v>11323</v>
      </c>
      <c r="K203" s="78" t="s">
        <v>173</v>
      </c>
      <c r="L203" s="78">
        <v>2003.7159999999999</v>
      </c>
    </row>
    <row r="204" spans="1:12">
      <c r="A204" s="77">
        <v>67175</v>
      </c>
      <c r="B204" s="77">
        <v>11327</v>
      </c>
      <c r="C204" s="77" t="s">
        <v>180</v>
      </c>
      <c r="D204" s="77">
        <v>2.5</v>
      </c>
      <c r="E204" s="77">
        <v>1</v>
      </c>
      <c r="F204" s="79">
        <f t="shared" si="3"/>
        <v>2003.7159999999999</v>
      </c>
      <c r="J204" s="78">
        <v>11327</v>
      </c>
      <c r="K204" s="78" t="s">
        <v>173</v>
      </c>
      <c r="L204" s="78">
        <v>2003.7159999999999</v>
      </c>
    </row>
    <row r="205" spans="1:12">
      <c r="A205" s="77">
        <v>196031</v>
      </c>
      <c r="B205" s="77">
        <v>11332</v>
      </c>
      <c r="C205" s="77" t="s">
        <v>180</v>
      </c>
      <c r="D205" s="77">
        <v>2</v>
      </c>
      <c r="E205" s="77">
        <v>2</v>
      </c>
      <c r="F205" s="79">
        <f t="shared" si="3"/>
        <v>4956.4930000000004</v>
      </c>
      <c r="J205" s="78">
        <v>11332</v>
      </c>
      <c r="K205" s="78" t="s">
        <v>173</v>
      </c>
      <c r="L205" s="78">
        <v>4956.4930000000004</v>
      </c>
    </row>
    <row r="206" spans="1:12">
      <c r="A206" s="77">
        <v>57177</v>
      </c>
      <c r="B206" s="77">
        <v>11339</v>
      </c>
      <c r="C206" s="77" t="s">
        <v>180</v>
      </c>
      <c r="D206" s="77">
        <v>1.25</v>
      </c>
      <c r="E206" s="77">
        <v>1</v>
      </c>
      <c r="F206" s="79">
        <f t="shared" si="3"/>
        <v>1524.7619999999999</v>
      </c>
      <c r="J206" s="78">
        <v>11339</v>
      </c>
      <c r="K206" s="78" t="s">
        <v>173</v>
      </c>
      <c r="L206" s="78">
        <v>1524.7619999999999</v>
      </c>
    </row>
    <row r="207" spans="1:12">
      <c r="A207" s="77">
        <v>122713</v>
      </c>
      <c r="B207" s="77">
        <v>11341</v>
      </c>
      <c r="C207" s="77" t="s">
        <v>180</v>
      </c>
      <c r="D207" s="77">
        <v>2.25</v>
      </c>
      <c r="E207" s="77">
        <v>2</v>
      </c>
      <c r="F207" s="79">
        <f t="shared" si="3"/>
        <v>1464.694</v>
      </c>
      <c r="J207" s="78">
        <v>11341</v>
      </c>
      <c r="K207" s="78" t="s">
        <v>173</v>
      </c>
      <c r="L207" s="78">
        <v>1464.694</v>
      </c>
    </row>
    <row r="208" spans="1:12">
      <c r="A208" s="77">
        <v>212739</v>
      </c>
      <c r="B208" s="77">
        <v>11342</v>
      </c>
      <c r="C208" s="77" t="s">
        <v>180</v>
      </c>
      <c r="D208" s="77">
        <v>2</v>
      </c>
      <c r="E208" s="77">
        <v>2</v>
      </c>
      <c r="F208" s="79">
        <f t="shared" si="3"/>
        <v>4956.4930000000004</v>
      </c>
      <c r="J208" s="78">
        <v>11342</v>
      </c>
      <c r="K208" s="78" t="s">
        <v>173</v>
      </c>
      <c r="L208" s="78">
        <v>4956.4930000000004</v>
      </c>
    </row>
    <row r="209" spans="1:12">
      <c r="A209" s="77">
        <v>725078</v>
      </c>
      <c r="B209" s="77">
        <v>11346</v>
      </c>
      <c r="C209" s="77" t="s">
        <v>180</v>
      </c>
      <c r="D209" s="77">
        <v>2</v>
      </c>
      <c r="E209" s="77">
        <v>2</v>
      </c>
      <c r="F209" s="79">
        <f t="shared" si="3"/>
        <v>4956.4930000000004</v>
      </c>
      <c r="J209" s="78">
        <v>11346</v>
      </c>
      <c r="K209" s="78" t="s">
        <v>173</v>
      </c>
      <c r="L209" s="78">
        <v>4956.4930000000004</v>
      </c>
    </row>
    <row r="210" spans="1:12">
      <c r="A210" s="77">
        <v>105377</v>
      </c>
      <c r="B210" s="77">
        <v>11347</v>
      </c>
      <c r="C210" s="77" t="s">
        <v>180</v>
      </c>
      <c r="D210" s="77">
        <v>5</v>
      </c>
      <c r="E210" s="77">
        <v>2</v>
      </c>
      <c r="F210" s="79">
        <f t="shared" si="3"/>
        <v>4956.4930000000004</v>
      </c>
      <c r="J210" s="78">
        <v>11347</v>
      </c>
      <c r="K210" s="78" t="s">
        <v>173</v>
      </c>
      <c r="L210" s="78">
        <v>4956.4930000000004</v>
      </c>
    </row>
    <row r="211" spans="1:12">
      <c r="A211" s="77">
        <v>199232</v>
      </c>
      <c r="B211" s="77">
        <v>11349</v>
      </c>
      <c r="C211" s="77" t="s">
        <v>180</v>
      </c>
      <c r="D211" s="77">
        <v>1.5</v>
      </c>
      <c r="E211" s="77">
        <v>2</v>
      </c>
      <c r="F211" s="79">
        <f t="shared" si="3"/>
        <v>4956.4930000000004</v>
      </c>
      <c r="J211" s="78">
        <v>11349</v>
      </c>
      <c r="K211" s="78" t="s">
        <v>173</v>
      </c>
      <c r="L211" s="78">
        <v>4956.4930000000004</v>
      </c>
    </row>
    <row r="212" spans="1:12">
      <c r="A212" s="77">
        <v>190364</v>
      </c>
      <c r="B212" s="77">
        <v>11352</v>
      </c>
      <c r="C212" s="77" t="s">
        <v>180</v>
      </c>
      <c r="D212" s="77">
        <v>2.2000000000000002</v>
      </c>
      <c r="E212" s="77">
        <v>2</v>
      </c>
      <c r="F212" s="79">
        <f t="shared" si="3"/>
        <v>6932.7380000000003</v>
      </c>
      <c r="J212" s="78">
        <v>11352</v>
      </c>
      <c r="K212" s="78" t="s">
        <v>172</v>
      </c>
      <c r="L212" s="78">
        <v>6932.7380000000003</v>
      </c>
    </row>
    <row r="213" spans="1:12">
      <c r="A213" s="77">
        <v>42854</v>
      </c>
      <c r="B213" s="77">
        <v>11375</v>
      </c>
      <c r="C213" s="77" t="s">
        <v>180</v>
      </c>
      <c r="D213" s="77">
        <v>1.5</v>
      </c>
      <c r="E213" s="77">
        <v>3</v>
      </c>
      <c r="F213" s="79">
        <f t="shared" si="3"/>
        <v>1524.7619999999999</v>
      </c>
      <c r="J213" s="78">
        <v>11375</v>
      </c>
      <c r="K213" s="78" t="s">
        <v>173</v>
      </c>
      <c r="L213" s="78">
        <v>1524.7619999999999</v>
      </c>
    </row>
    <row r="214" spans="1:12">
      <c r="A214" s="77">
        <v>86186</v>
      </c>
      <c r="B214" s="77">
        <v>11377</v>
      </c>
      <c r="C214" s="77" t="s">
        <v>180</v>
      </c>
      <c r="D214" s="77">
        <v>2.5</v>
      </c>
      <c r="E214" s="77">
        <v>1</v>
      </c>
      <c r="F214" s="79">
        <f t="shared" si="3"/>
        <v>4956.4930000000004</v>
      </c>
      <c r="J214" s="78">
        <v>11377</v>
      </c>
      <c r="K214" s="78" t="s">
        <v>173</v>
      </c>
      <c r="L214" s="78">
        <v>4956.4930000000004</v>
      </c>
    </row>
    <row r="215" spans="1:12">
      <c r="A215" s="77">
        <v>54762</v>
      </c>
      <c r="B215" s="77">
        <v>11409</v>
      </c>
      <c r="C215" s="77" t="s">
        <v>180</v>
      </c>
      <c r="D215" s="77">
        <v>2</v>
      </c>
      <c r="E215" s="77">
        <v>1</v>
      </c>
      <c r="F215" s="79">
        <f t="shared" si="3"/>
        <v>1188.027</v>
      </c>
      <c r="J215" s="78">
        <v>11409</v>
      </c>
      <c r="K215" s="78" t="s">
        <v>172</v>
      </c>
      <c r="L215" s="78">
        <v>1188.027</v>
      </c>
    </row>
    <row r="216" spans="1:12">
      <c r="A216" s="77">
        <v>197337</v>
      </c>
      <c r="B216" s="77">
        <v>11411</v>
      </c>
      <c r="C216" s="77" t="s">
        <v>180</v>
      </c>
      <c r="D216" s="77">
        <v>2.5</v>
      </c>
      <c r="E216" s="77">
        <v>2</v>
      </c>
      <c r="F216" s="79">
        <f t="shared" si="3"/>
        <v>1464.694</v>
      </c>
      <c r="J216" s="78">
        <v>11411</v>
      </c>
      <c r="K216" s="78" t="s">
        <v>173</v>
      </c>
      <c r="L216" s="78">
        <v>1464.694</v>
      </c>
    </row>
    <row r="217" spans="1:12">
      <c r="A217" s="77">
        <v>140860</v>
      </c>
      <c r="B217" s="77">
        <v>11414</v>
      </c>
      <c r="C217" s="77" t="s">
        <v>180</v>
      </c>
      <c r="D217" s="77">
        <v>2.75</v>
      </c>
      <c r="E217" s="77">
        <v>2</v>
      </c>
      <c r="F217" s="79">
        <f t="shared" si="3"/>
        <v>4956.4930000000004</v>
      </c>
      <c r="J217" s="78">
        <v>11414</v>
      </c>
      <c r="K217" s="78" t="s">
        <v>173</v>
      </c>
      <c r="L217" s="78">
        <v>4956.4930000000004</v>
      </c>
    </row>
    <row r="218" spans="1:12">
      <c r="A218" s="77">
        <v>62277</v>
      </c>
      <c r="B218" s="77">
        <v>11416</v>
      </c>
      <c r="C218" s="77" t="s">
        <v>180</v>
      </c>
      <c r="D218" s="77">
        <v>2.25</v>
      </c>
      <c r="E218" s="77">
        <v>3</v>
      </c>
      <c r="F218" s="79">
        <f t="shared" si="3"/>
        <v>2003.7159999999999</v>
      </c>
      <c r="J218" s="78">
        <v>11416</v>
      </c>
      <c r="K218" s="78" t="s">
        <v>173</v>
      </c>
      <c r="L218" s="78">
        <v>2003.7159999999999</v>
      </c>
    </row>
    <row r="219" spans="1:12">
      <c r="A219" s="77">
        <v>107170</v>
      </c>
      <c r="B219" s="77">
        <v>11417</v>
      </c>
      <c r="C219" s="77" t="s">
        <v>180</v>
      </c>
      <c r="D219" s="77">
        <v>2.5</v>
      </c>
      <c r="E219" s="77">
        <v>1</v>
      </c>
      <c r="F219" s="79">
        <f t="shared" si="3"/>
        <v>4956.4930000000004</v>
      </c>
      <c r="J219" s="78">
        <v>11417</v>
      </c>
      <c r="K219" s="78" t="s">
        <v>173</v>
      </c>
      <c r="L219" s="78">
        <v>4956.4930000000004</v>
      </c>
    </row>
    <row r="220" spans="1:12">
      <c r="A220" s="77">
        <v>687327</v>
      </c>
      <c r="B220" s="77">
        <v>11418</v>
      </c>
      <c r="C220" s="77" t="s">
        <v>180</v>
      </c>
      <c r="D220" s="77">
        <v>2</v>
      </c>
      <c r="E220" s="77">
        <v>2</v>
      </c>
      <c r="F220" s="79">
        <f t="shared" si="3"/>
        <v>6932.7380000000003</v>
      </c>
      <c r="J220" s="78">
        <v>11418</v>
      </c>
      <c r="K220" s="78" t="s">
        <v>172</v>
      </c>
      <c r="L220" s="78">
        <v>6932.7380000000003</v>
      </c>
    </row>
    <row r="221" spans="1:12">
      <c r="A221" s="77">
        <v>671583</v>
      </c>
      <c r="B221" s="77">
        <v>11420</v>
      </c>
      <c r="C221" s="77" t="s">
        <v>180</v>
      </c>
      <c r="D221" s="77">
        <v>2</v>
      </c>
      <c r="E221" s="77">
        <v>1</v>
      </c>
      <c r="F221" s="79">
        <f t="shared" si="3"/>
        <v>6932.7380000000003</v>
      </c>
      <c r="J221" s="78">
        <v>11420</v>
      </c>
      <c r="K221" s="78" t="s">
        <v>172</v>
      </c>
      <c r="L221" s="78">
        <v>6932.7380000000003</v>
      </c>
    </row>
    <row r="222" spans="1:12">
      <c r="A222" s="77">
        <v>50815</v>
      </c>
      <c r="B222" s="77">
        <v>11437</v>
      </c>
      <c r="C222" s="77" t="s">
        <v>181</v>
      </c>
      <c r="D222" s="77">
        <v>3</v>
      </c>
      <c r="E222" s="77">
        <v>4</v>
      </c>
      <c r="F222" s="79">
        <f t="shared" si="3"/>
        <v>1524.7619999999999</v>
      </c>
      <c r="J222" s="78">
        <v>11437</v>
      </c>
      <c r="K222" s="78" t="s">
        <v>173</v>
      </c>
      <c r="L222" s="78">
        <v>1524.7619999999999</v>
      </c>
    </row>
    <row r="223" spans="1:12">
      <c r="A223" s="77">
        <v>189397</v>
      </c>
      <c r="B223" s="77">
        <v>11439</v>
      </c>
      <c r="C223" s="77" t="s">
        <v>180</v>
      </c>
      <c r="D223" s="77">
        <v>2</v>
      </c>
      <c r="E223" s="77">
        <v>2</v>
      </c>
      <c r="F223" s="79">
        <f t="shared" si="3"/>
        <v>6932.7380000000003</v>
      </c>
      <c r="J223" s="78">
        <v>11439</v>
      </c>
      <c r="K223" s="78" t="s">
        <v>172</v>
      </c>
      <c r="L223" s="78">
        <v>6932.7380000000003</v>
      </c>
    </row>
    <row r="224" spans="1:12">
      <c r="A224" s="77">
        <v>159202</v>
      </c>
      <c r="B224" s="77">
        <v>11452</v>
      </c>
      <c r="C224" s="77" t="s">
        <v>180</v>
      </c>
      <c r="D224" s="77">
        <v>4.8</v>
      </c>
      <c r="E224" s="77">
        <v>3</v>
      </c>
      <c r="F224" s="79">
        <f t="shared" si="3"/>
        <v>6932.7380000000003</v>
      </c>
      <c r="J224" s="78">
        <v>11452</v>
      </c>
      <c r="K224" s="78" t="s">
        <v>172</v>
      </c>
      <c r="L224" s="78">
        <v>6932.7380000000003</v>
      </c>
    </row>
    <row r="225" spans="1:12">
      <c r="A225" s="77">
        <v>38694</v>
      </c>
      <c r="B225" s="77">
        <v>11467</v>
      </c>
      <c r="C225" s="77" t="s">
        <v>180</v>
      </c>
      <c r="D225" s="77">
        <v>1.5</v>
      </c>
      <c r="E225" s="77">
        <v>2</v>
      </c>
      <c r="F225" s="79">
        <f t="shared" si="3"/>
        <v>1524.7619999999999</v>
      </c>
      <c r="J225" s="78">
        <v>11467</v>
      </c>
      <c r="K225" s="78" t="s">
        <v>173</v>
      </c>
      <c r="L225" s="78">
        <v>1524.7619999999999</v>
      </c>
    </row>
    <row r="226" spans="1:12">
      <c r="A226" s="77">
        <v>84685</v>
      </c>
      <c r="B226" s="77">
        <v>11472</v>
      </c>
      <c r="C226" s="77" t="s">
        <v>180</v>
      </c>
      <c r="D226" s="77">
        <v>2.25</v>
      </c>
      <c r="E226" s="77">
        <v>3</v>
      </c>
      <c r="F226" s="79">
        <f t="shared" si="3"/>
        <v>1524.7619999999999</v>
      </c>
      <c r="J226" s="78">
        <v>11472</v>
      </c>
      <c r="K226" s="78" t="s">
        <v>173</v>
      </c>
      <c r="L226" s="78">
        <v>1524.7619999999999</v>
      </c>
    </row>
    <row r="227" spans="1:12">
      <c r="A227" s="77">
        <v>224471</v>
      </c>
      <c r="B227" s="77">
        <v>11475</v>
      </c>
      <c r="C227" s="77" t="s">
        <v>180</v>
      </c>
      <c r="D227" s="77">
        <v>3</v>
      </c>
      <c r="E227" s="77">
        <v>3</v>
      </c>
      <c r="F227" s="79">
        <f t="shared" si="3"/>
        <v>6932.7380000000003</v>
      </c>
      <c r="J227" s="78">
        <v>11475</v>
      </c>
      <c r="K227" s="78" t="s">
        <v>172</v>
      </c>
      <c r="L227" s="78">
        <v>6932.7380000000003</v>
      </c>
    </row>
    <row r="228" spans="1:12">
      <c r="A228" s="77">
        <v>60055</v>
      </c>
      <c r="B228" s="77">
        <v>11476</v>
      </c>
      <c r="C228" s="77" t="s">
        <v>180</v>
      </c>
      <c r="D228" s="77">
        <v>1.5</v>
      </c>
      <c r="E228" s="77">
        <v>2</v>
      </c>
      <c r="F228" s="79">
        <f t="shared" si="3"/>
        <v>1524.7619999999999</v>
      </c>
      <c r="J228" s="78">
        <v>11476</v>
      </c>
      <c r="K228" s="78" t="s">
        <v>173</v>
      </c>
      <c r="L228" s="78">
        <v>1524.7619999999999</v>
      </c>
    </row>
    <row r="229" spans="1:12">
      <c r="A229" s="77">
        <v>92725</v>
      </c>
      <c r="B229" s="77">
        <v>11478</v>
      </c>
      <c r="C229" s="77" t="s">
        <v>180</v>
      </c>
      <c r="D229" s="77">
        <v>2</v>
      </c>
      <c r="E229" s="77">
        <v>1</v>
      </c>
      <c r="F229" s="79">
        <f t="shared" si="3"/>
        <v>2003.7159999999999</v>
      </c>
      <c r="J229" s="78">
        <v>11478</v>
      </c>
      <c r="K229" s="78" t="s">
        <v>173</v>
      </c>
      <c r="L229" s="78">
        <v>2003.7159999999999</v>
      </c>
    </row>
    <row r="230" spans="1:12">
      <c r="A230" s="77">
        <v>37604</v>
      </c>
      <c r="B230" s="77">
        <v>11494</v>
      </c>
      <c r="C230" s="77" t="s">
        <v>180</v>
      </c>
      <c r="D230" s="77">
        <v>1.5</v>
      </c>
      <c r="E230" s="77">
        <v>2</v>
      </c>
      <c r="F230" s="79">
        <f t="shared" si="3"/>
        <v>1524.7619999999999</v>
      </c>
      <c r="J230" s="78">
        <v>11494</v>
      </c>
      <c r="K230" s="78" t="s">
        <v>173</v>
      </c>
      <c r="L230" s="78">
        <v>1524.7619999999999</v>
      </c>
    </row>
    <row r="231" spans="1:12">
      <c r="A231" s="77">
        <v>102521</v>
      </c>
      <c r="B231" s="77">
        <v>11496</v>
      </c>
      <c r="C231" s="77" t="s">
        <v>180</v>
      </c>
      <c r="D231" s="77">
        <v>1.5</v>
      </c>
      <c r="E231" s="77">
        <v>2</v>
      </c>
      <c r="F231" s="79">
        <f t="shared" si="3"/>
        <v>4956.4930000000004</v>
      </c>
      <c r="J231" s="78">
        <v>11496</v>
      </c>
      <c r="K231" s="78" t="s">
        <v>173</v>
      </c>
      <c r="L231" s="78">
        <v>4956.4930000000004</v>
      </c>
    </row>
    <row r="232" spans="1:12">
      <c r="A232" s="77">
        <v>54290</v>
      </c>
      <c r="B232" s="77">
        <v>11499</v>
      </c>
      <c r="C232" s="77" t="s">
        <v>180</v>
      </c>
      <c r="D232" s="77">
        <v>2</v>
      </c>
      <c r="E232" s="77">
        <v>1</v>
      </c>
      <c r="F232" s="79">
        <f t="shared" si="3"/>
        <v>1188.027</v>
      </c>
      <c r="J232" s="78">
        <v>11499</v>
      </c>
      <c r="K232" s="78" t="s">
        <v>172</v>
      </c>
      <c r="L232" s="78">
        <v>1188.027</v>
      </c>
    </row>
    <row r="233" spans="1:12">
      <c r="A233" s="77">
        <v>724536</v>
      </c>
      <c r="B233" s="77">
        <v>11503</v>
      </c>
      <c r="C233" s="77" t="s">
        <v>180</v>
      </c>
      <c r="D233" s="77">
        <v>2.5</v>
      </c>
      <c r="E233" s="77">
        <v>2</v>
      </c>
      <c r="F233" s="79">
        <f t="shared" si="3"/>
        <v>1524.7619999999999</v>
      </c>
      <c r="J233" s="78">
        <v>11503</v>
      </c>
      <c r="K233" s="78" t="s">
        <v>173</v>
      </c>
      <c r="L233" s="78">
        <v>1524.7619999999999</v>
      </c>
    </row>
    <row r="234" spans="1:12">
      <c r="A234" s="77">
        <v>219677</v>
      </c>
      <c r="B234" s="77">
        <v>11504</v>
      </c>
      <c r="C234" s="77" t="s">
        <v>180</v>
      </c>
      <c r="D234" s="77">
        <v>1.9</v>
      </c>
      <c r="E234" s="77">
        <v>3</v>
      </c>
      <c r="F234" s="79">
        <f t="shared" si="3"/>
        <v>6932.7380000000003</v>
      </c>
      <c r="J234" s="78">
        <v>11504</v>
      </c>
      <c r="K234" s="78" t="s">
        <v>172</v>
      </c>
      <c r="L234" s="78">
        <v>6932.7380000000003</v>
      </c>
    </row>
    <row r="235" spans="1:12">
      <c r="A235" s="77">
        <v>104021</v>
      </c>
      <c r="B235" s="77">
        <v>11512</v>
      </c>
      <c r="C235" s="77" t="s">
        <v>180</v>
      </c>
      <c r="D235" s="77">
        <v>2</v>
      </c>
      <c r="E235" s="77">
        <v>2</v>
      </c>
      <c r="F235" s="79">
        <f t="shared" si="3"/>
        <v>2003.7159999999999</v>
      </c>
      <c r="J235" s="78">
        <v>11512</v>
      </c>
      <c r="K235" s="78" t="s">
        <v>173</v>
      </c>
      <c r="L235" s="78">
        <v>2003.7159999999999</v>
      </c>
    </row>
    <row r="236" spans="1:12">
      <c r="A236" s="77">
        <v>102724</v>
      </c>
      <c r="B236" s="77">
        <v>11516</v>
      </c>
      <c r="C236" s="77" t="s">
        <v>180</v>
      </c>
      <c r="D236" s="77">
        <v>2.75</v>
      </c>
      <c r="E236" s="77">
        <v>1</v>
      </c>
      <c r="F236" s="79">
        <f t="shared" si="3"/>
        <v>4956.4930000000004</v>
      </c>
      <c r="J236" s="78">
        <v>11516</v>
      </c>
      <c r="K236" s="78" t="s">
        <v>173</v>
      </c>
      <c r="L236" s="78">
        <v>4956.4930000000004</v>
      </c>
    </row>
    <row r="237" spans="1:12">
      <c r="A237" s="77">
        <v>89366</v>
      </c>
      <c r="B237" s="77">
        <v>11520</v>
      </c>
      <c r="C237" s="77" t="s">
        <v>180</v>
      </c>
      <c r="D237" s="77">
        <v>2.75</v>
      </c>
      <c r="E237" s="77">
        <v>1</v>
      </c>
      <c r="F237" s="79">
        <f t="shared" si="3"/>
        <v>2003.7159999999999</v>
      </c>
      <c r="J237" s="78">
        <v>11520</v>
      </c>
      <c r="K237" s="78" t="s">
        <v>173</v>
      </c>
      <c r="L237" s="78">
        <v>2003.7159999999999</v>
      </c>
    </row>
    <row r="238" spans="1:12">
      <c r="A238" s="77">
        <v>102638</v>
      </c>
      <c r="B238" s="77">
        <v>11531</v>
      </c>
      <c r="C238" s="77" t="s">
        <v>180</v>
      </c>
      <c r="D238" s="77">
        <v>2</v>
      </c>
      <c r="E238" s="77">
        <v>1</v>
      </c>
      <c r="F238" s="79">
        <f t="shared" si="3"/>
        <v>4956.4930000000004</v>
      </c>
      <c r="J238" s="78">
        <v>11531</v>
      </c>
      <c r="K238" s="78" t="s">
        <v>173</v>
      </c>
      <c r="L238" s="78">
        <v>4956.4930000000004</v>
      </c>
    </row>
    <row r="239" spans="1:12">
      <c r="A239" s="77">
        <v>73765</v>
      </c>
      <c r="B239" s="77">
        <v>11533</v>
      </c>
      <c r="C239" s="77" t="s">
        <v>180</v>
      </c>
      <c r="D239" s="77">
        <v>2</v>
      </c>
      <c r="E239" s="77">
        <v>3</v>
      </c>
      <c r="F239" s="79">
        <f t="shared" si="3"/>
        <v>2003.7159999999999</v>
      </c>
      <c r="J239" s="78">
        <v>11533</v>
      </c>
      <c r="K239" s="78" t="s">
        <v>173</v>
      </c>
      <c r="L239" s="78">
        <v>2003.7159999999999</v>
      </c>
    </row>
    <row r="240" spans="1:12">
      <c r="A240" s="77">
        <v>32608</v>
      </c>
      <c r="B240" s="77">
        <v>11535</v>
      </c>
      <c r="C240" s="77" t="s">
        <v>180</v>
      </c>
      <c r="D240" s="77">
        <v>1.5</v>
      </c>
      <c r="E240" s="77">
        <v>3</v>
      </c>
      <c r="F240" s="79">
        <f t="shared" si="3"/>
        <v>1524.7619999999999</v>
      </c>
      <c r="J240" s="78">
        <v>11535</v>
      </c>
      <c r="K240" s="78" t="s">
        <v>173</v>
      </c>
      <c r="L240" s="78">
        <v>1524.7619999999999</v>
      </c>
    </row>
    <row r="241" spans="1:12">
      <c r="A241" s="77">
        <v>46087</v>
      </c>
      <c r="B241" s="77">
        <v>11536</v>
      </c>
      <c r="C241" s="77" t="s">
        <v>180</v>
      </c>
      <c r="D241" s="77">
        <v>3.5</v>
      </c>
      <c r="E241" s="77">
        <v>1</v>
      </c>
      <c r="F241" s="79">
        <f t="shared" si="3"/>
        <v>1188.027</v>
      </c>
      <c r="J241" s="78">
        <v>11536</v>
      </c>
      <c r="K241" s="78" t="s">
        <v>172</v>
      </c>
      <c r="L241" s="78">
        <v>1188.027</v>
      </c>
    </row>
    <row r="242" spans="1:12">
      <c r="A242" s="77">
        <v>64407</v>
      </c>
      <c r="B242" s="77">
        <v>11539</v>
      </c>
      <c r="C242" s="77" t="s">
        <v>180</v>
      </c>
      <c r="D242" s="77">
        <v>2.5</v>
      </c>
      <c r="E242" s="77">
        <v>1</v>
      </c>
      <c r="F242" s="79">
        <f t="shared" si="3"/>
        <v>2003.7159999999999</v>
      </c>
      <c r="J242" s="78">
        <v>11539</v>
      </c>
      <c r="K242" s="78" t="s">
        <v>173</v>
      </c>
      <c r="L242" s="78">
        <v>2003.7159999999999</v>
      </c>
    </row>
    <row r="243" spans="1:12">
      <c r="A243" s="77">
        <v>212964</v>
      </c>
      <c r="B243" s="77">
        <v>11544</v>
      </c>
      <c r="C243" s="77" t="s">
        <v>180</v>
      </c>
      <c r="D243" s="77">
        <v>3</v>
      </c>
      <c r="E243" s="77">
        <v>1</v>
      </c>
      <c r="F243" s="79">
        <f t="shared" si="3"/>
        <v>4956.4930000000004</v>
      </c>
      <c r="J243" s="78">
        <v>11544</v>
      </c>
      <c r="K243" s="78" t="s">
        <v>173</v>
      </c>
      <c r="L243" s="78">
        <v>4956.4930000000004</v>
      </c>
    </row>
    <row r="244" spans="1:12">
      <c r="A244" s="77">
        <v>39324</v>
      </c>
      <c r="B244" s="77">
        <v>11549</v>
      </c>
      <c r="C244" s="77" t="s">
        <v>180</v>
      </c>
      <c r="D244" s="77">
        <v>2</v>
      </c>
      <c r="E244" s="77">
        <v>1</v>
      </c>
      <c r="F244" s="79">
        <f t="shared" si="3"/>
        <v>1524.7619999999999</v>
      </c>
      <c r="J244" s="78">
        <v>11549</v>
      </c>
      <c r="K244" s="78" t="s">
        <v>173</v>
      </c>
      <c r="L244" s="78">
        <v>1524.7619999999999</v>
      </c>
    </row>
    <row r="245" spans="1:12">
      <c r="A245" s="77">
        <v>196498</v>
      </c>
      <c r="B245" s="77">
        <v>11552</v>
      </c>
      <c r="C245" s="77" t="s">
        <v>180</v>
      </c>
      <c r="D245" s="77">
        <v>2.5</v>
      </c>
      <c r="E245" s="77">
        <v>1</v>
      </c>
      <c r="F245" s="79">
        <f t="shared" si="3"/>
        <v>1464.694</v>
      </c>
      <c r="J245" s="78">
        <v>11552</v>
      </c>
      <c r="K245" s="78" t="s">
        <v>173</v>
      </c>
      <c r="L245" s="78">
        <v>1464.694</v>
      </c>
    </row>
    <row r="246" spans="1:12">
      <c r="A246" s="77">
        <v>93023</v>
      </c>
      <c r="B246" s="77">
        <v>11555</v>
      </c>
      <c r="C246" s="77" t="s">
        <v>180</v>
      </c>
      <c r="D246" s="77">
        <v>2.25</v>
      </c>
      <c r="E246" s="77">
        <v>2</v>
      </c>
      <c r="F246" s="79">
        <f t="shared" si="3"/>
        <v>2003.7159999999999</v>
      </c>
      <c r="J246" s="78">
        <v>11555</v>
      </c>
      <c r="K246" s="78" t="s">
        <v>173</v>
      </c>
      <c r="L246" s="78">
        <v>2003.7159999999999</v>
      </c>
    </row>
    <row r="247" spans="1:12">
      <c r="A247" s="77">
        <v>105081</v>
      </c>
      <c r="B247" s="77">
        <v>11574</v>
      </c>
      <c r="C247" s="77" t="s">
        <v>180</v>
      </c>
      <c r="D247" s="77">
        <v>2</v>
      </c>
      <c r="E247" s="77">
        <v>1</v>
      </c>
      <c r="F247" s="79">
        <f t="shared" si="3"/>
        <v>4956.4930000000004</v>
      </c>
      <c r="J247" s="78">
        <v>11574</v>
      </c>
      <c r="K247" s="78" t="s">
        <v>173</v>
      </c>
      <c r="L247" s="78">
        <v>4956.4930000000004</v>
      </c>
    </row>
    <row r="248" spans="1:12">
      <c r="A248" s="77">
        <v>687436</v>
      </c>
      <c r="B248" s="77">
        <v>11585</v>
      </c>
      <c r="C248" s="77" t="s">
        <v>180</v>
      </c>
      <c r="D248" s="77">
        <v>2.5</v>
      </c>
      <c r="E248" s="77">
        <v>1</v>
      </c>
      <c r="F248" s="79">
        <f t="shared" si="3"/>
        <v>1524.7619999999999</v>
      </c>
      <c r="J248" s="78">
        <v>11585</v>
      </c>
      <c r="K248" s="78" t="s">
        <v>173</v>
      </c>
      <c r="L248" s="78">
        <v>1524.7619999999999</v>
      </c>
    </row>
    <row r="249" spans="1:12">
      <c r="A249" s="77">
        <v>233697</v>
      </c>
      <c r="B249" s="77">
        <v>11602</v>
      </c>
      <c r="C249" s="77" t="s">
        <v>180</v>
      </c>
      <c r="D249" s="77">
        <v>4</v>
      </c>
      <c r="E249" s="77">
        <v>2</v>
      </c>
      <c r="F249" s="79">
        <f t="shared" si="3"/>
        <v>1150.8789999999999</v>
      </c>
      <c r="J249" s="78">
        <v>11602</v>
      </c>
      <c r="K249" s="78" t="s">
        <v>173</v>
      </c>
      <c r="L249" s="78">
        <v>1150.8789999999999</v>
      </c>
    </row>
    <row r="250" spans="1:12">
      <c r="A250" s="77">
        <v>108898</v>
      </c>
      <c r="B250" s="77">
        <v>11633</v>
      </c>
      <c r="C250" s="77" t="s">
        <v>180</v>
      </c>
      <c r="D250" s="77">
        <v>4.5</v>
      </c>
      <c r="E250" s="77">
        <v>2</v>
      </c>
      <c r="F250" s="79">
        <f t="shared" si="3"/>
        <v>4956.4930000000004</v>
      </c>
      <c r="J250" s="78">
        <v>11633</v>
      </c>
      <c r="K250" s="78" t="s">
        <v>173</v>
      </c>
      <c r="L250" s="78">
        <v>4956.4930000000004</v>
      </c>
    </row>
    <row r="251" spans="1:12">
      <c r="A251" s="77">
        <v>667106</v>
      </c>
      <c r="B251" s="77">
        <v>11636</v>
      </c>
      <c r="C251" s="77" t="s">
        <v>180</v>
      </c>
      <c r="D251" s="77">
        <v>2.5</v>
      </c>
      <c r="E251" s="77">
        <v>1</v>
      </c>
      <c r="F251" s="79">
        <f t="shared" si="3"/>
        <v>1464.694</v>
      </c>
      <c r="J251" s="78">
        <v>11636</v>
      </c>
      <c r="K251" s="78" t="s">
        <v>173</v>
      </c>
      <c r="L251" s="78">
        <v>1464.694</v>
      </c>
    </row>
    <row r="252" spans="1:12">
      <c r="A252" s="77">
        <v>202976</v>
      </c>
      <c r="B252" s="77">
        <v>11639</v>
      </c>
      <c r="C252" s="77" t="s">
        <v>180</v>
      </c>
      <c r="D252" s="77">
        <v>2.5</v>
      </c>
      <c r="E252" s="77">
        <v>3</v>
      </c>
      <c r="F252" s="79">
        <f t="shared" si="3"/>
        <v>1464.694</v>
      </c>
      <c r="J252" s="78">
        <v>11639</v>
      </c>
      <c r="K252" s="78" t="s">
        <v>173</v>
      </c>
      <c r="L252" s="78">
        <v>1464.694</v>
      </c>
    </row>
    <row r="253" spans="1:12">
      <c r="A253" s="77">
        <v>34041</v>
      </c>
      <c r="B253" s="77">
        <v>11645</v>
      </c>
      <c r="C253" s="77" t="s">
        <v>180</v>
      </c>
      <c r="D253" s="77">
        <v>2</v>
      </c>
      <c r="E253" s="77">
        <v>2</v>
      </c>
      <c r="F253" s="79">
        <f t="shared" si="3"/>
        <v>1524.7619999999999</v>
      </c>
      <c r="J253" s="78">
        <v>11645</v>
      </c>
      <c r="K253" s="78" t="s">
        <v>173</v>
      </c>
      <c r="L253" s="78">
        <v>1524.7619999999999</v>
      </c>
    </row>
    <row r="254" spans="1:12">
      <c r="A254" s="77">
        <v>47190</v>
      </c>
      <c r="B254" s="77">
        <v>11653</v>
      </c>
      <c r="C254" s="77" t="s">
        <v>180</v>
      </c>
      <c r="D254" s="77">
        <v>2</v>
      </c>
      <c r="E254" s="77">
        <v>4</v>
      </c>
      <c r="F254" s="79">
        <f t="shared" si="3"/>
        <v>1524.7619999999999</v>
      </c>
      <c r="J254" s="78">
        <v>11653</v>
      </c>
      <c r="K254" s="78" t="s">
        <v>173</v>
      </c>
      <c r="L254" s="78">
        <v>1524.7619999999999</v>
      </c>
    </row>
    <row r="255" spans="1:12">
      <c r="A255" s="77">
        <v>58258</v>
      </c>
      <c r="B255" s="77">
        <v>11670</v>
      </c>
      <c r="C255" s="77" t="s">
        <v>180</v>
      </c>
      <c r="D255" s="77">
        <v>2.5</v>
      </c>
      <c r="E255" s="77">
        <v>1</v>
      </c>
      <c r="F255" s="79">
        <f t="shared" si="3"/>
        <v>1524.7619999999999</v>
      </c>
      <c r="J255" s="78">
        <v>11670</v>
      </c>
      <c r="K255" s="78" t="s">
        <v>173</v>
      </c>
      <c r="L255" s="78">
        <v>1524.7619999999999</v>
      </c>
    </row>
    <row r="256" spans="1:12">
      <c r="A256" s="77">
        <v>172715</v>
      </c>
      <c r="B256" s="77">
        <v>11675</v>
      </c>
      <c r="C256" s="77" t="s">
        <v>180</v>
      </c>
      <c r="D256" s="77">
        <v>2.5</v>
      </c>
      <c r="E256" s="77">
        <v>2</v>
      </c>
      <c r="F256" s="79">
        <f t="shared" si="3"/>
        <v>6932.7380000000003</v>
      </c>
      <c r="J256" s="78">
        <v>11675</v>
      </c>
      <c r="K256" s="78" t="s">
        <v>172</v>
      </c>
      <c r="L256" s="78">
        <v>6932.7380000000003</v>
      </c>
    </row>
    <row r="257" spans="1:12">
      <c r="A257" s="77">
        <v>47570</v>
      </c>
      <c r="B257" s="77">
        <v>11677</v>
      </c>
      <c r="C257" s="77" t="s">
        <v>180</v>
      </c>
      <c r="D257" s="77">
        <v>2</v>
      </c>
      <c r="E257" s="77">
        <v>2</v>
      </c>
      <c r="F257" s="79">
        <f t="shared" si="3"/>
        <v>1524.7619999999999</v>
      </c>
      <c r="J257" s="78">
        <v>11677</v>
      </c>
      <c r="K257" s="78" t="s">
        <v>173</v>
      </c>
      <c r="L257" s="78">
        <v>1524.7619999999999</v>
      </c>
    </row>
    <row r="258" spans="1:12">
      <c r="A258" s="77">
        <v>182731</v>
      </c>
      <c r="B258" s="77">
        <v>11679</v>
      </c>
      <c r="C258" s="77" t="s">
        <v>180</v>
      </c>
      <c r="D258" s="77">
        <v>2</v>
      </c>
      <c r="E258" s="77">
        <v>3</v>
      </c>
      <c r="F258" s="79">
        <f t="shared" si="3"/>
        <v>6932.7380000000003</v>
      </c>
      <c r="J258" s="78">
        <v>11679</v>
      </c>
      <c r="K258" s="78" t="s">
        <v>172</v>
      </c>
      <c r="L258" s="78">
        <v>6932.7380000000003</v>
      </c>
    </row>
    <row r="259" spans="1:12">
      <c r="A259" s="77">
        <v>85821</v>
      </c>
      <c r="B259" s="77">
        <v>11684</v>
      </c>
      <c r="C259" s="77" t="s">
        <v>180</v>
      </c>
      <c r="D259" s="77">
        <v>4</v>
      </c>
      <c r="E259" s="77">
        <v>2</v>
      </c>
      <c r="F259" s="79">
        <f t="shared" ref="F259:F322" si="4">VLOOKUP(B259,$J$2:$L$1405,3,FALSE)</f>
        <v>2003.7159999999999</v>
      </c>
      <c r="J259" s="78">
        <v>11684</v>
      </c>
      <c r="K259" s="78" t="s">
        <v>173</v>
      </c>
      <c r="L259" s="78">
        <v>2003.7159999999999</v>
      </c>
    </row>
    <row r="260" spans="1:12">
      <c r="A260" s="77">
        <v>76346</v>
      </c>
      <c r="B260" s="77">
        <v>11702</v>
      </c>
      <c r="C260" s="77" t="s">
        <v>180</v>
      </c>
      <c r="D260" s="77">
        <v>1.75</v>
      </c>
      <c r="E260" s="77">
        <v>1</v>
      </c>
      <c r="F260" s="79">
        <f t="shared" si="4"/>
        <v>2003.7159999999999</v>
      </c>
      <c r="J260" s="78">
        <v>11702</v>
      </c>
      <c r="K260" s="78" t="s">
        <v>173</v>
      </c>
      <c r="L260" s="78">
        <v>2003.7159999999999</v>
      </c>
    </row>
    <row r="261" spans="1:12">
      <c r="A261" s="77">
        <v>823429</v>
      </c>
      <c r="B261" s="77">
        <v>11705</v>
      </c>
      <c r="C261" s="77" t="s">
        <v>180</v>
      </c>
      <c r="D261" s="77">
        <v>4.5</v>
      </c>
      <c r="E261" s="77">
        <v>2</v>
      </c>
      <c r="F261" s="79">
        <f t="shared" si="4"/>
        <v>1464.694</v>
      </c>
      <c r="J261" s="78">
        <v>11705</v>
      </c>
      <c r="K261" s="78" t="s">
        <v>173</v>
      </c>
      <c r="L261" s="78">
        <v>1464.694</v>
      </c>
    </row>
    <row r="262" spans="1:12">
      <c r="A262" s="77">
        <v>99247</v>
      </c>
      <c r="B262" s="77">
        <v>11713</v>
      </c>
      <c r="C262" s="77" t="s">
        <v>180</v>
      </c>
      <c r="D262" s="77">
        <v>1</v>
      </c>
      <c r="E262" s="77">
        <v>1</v>
      </c>
      <c r="F262" s="79">
        <f t="shared" si="4"/>
        <v>2003.7159999999999</v>
      </c>
      <c r="J262" s="78">
        <v>11713</v>
      </c>
      <c r="K262" s="78" t="s">
        <v>173</v>
      </c>
      <c r="L262" s="78">
        <v>2003.7159999999999</v>
      </c>
    </row>
    <row r="263" spans="1:12">
      <c r="A263" s="77">
        <v>132029</v>
      </c>
      <c r="B263" s="77">
        <v>11717</v>
      </c>
      <c r="C263" s="77" t="s">
        <v>180</v>
      </c>
      <c r="D263" s="77">
        <v>2.2000000000000002</v>
      </c>
      <c r="E263" s="77">
        <v>2</v>
      </c>
      <c r="F263" s="79">
        <f t="shared" si="4"/>
        <v>6932.7380000000003</v>
      </c>
      <c r="J263" s="78">
        <v>11717</v>
      </c>
      <c r="K263" s="78" t="s">
        <v>172</v>
      </c>
      <c r="L263" s="78">
        <v>6932.7380000000003</v>
      </c>
    </row>
    <row r="264" spans="1:12">
      <c r="A264" s="77">
        <v>724188</v>
      </c>
      <c r="B264" s="77">
        <v>11725</v>
      </c>
      <c r="C264" s="77" t="s">
        <v>180</v>
      </c>
      <c r="D264" s="77">
        <v>2.5</v>
      </c>
      <c r="E264" s="77">
        <v>2</v>
      </c>
      <c r="F264" s="79">
        <f t="shared" si="4"/>
        <v>1524.7619999999999</v>
      </c>
      <c r="J264" s="78">
        <v>11725</v>
      </c>
      <c r="K264" s="78" t="s">
        <v>173</v>
      </c>
      <c r="L264" s="78">
        <v>1524.7619999999999</v>
      </c>
    </row>
    <row r="265" spans="1:12">
      <c r="A265" s="77">
        <v>160710</v>
      </c>
      <c r="B265" s="77">
        <v>11729</v>
      </c>
      <c r="C265" s="77" t="s">
        <v>180</v>
      </c>
      <c r="D265" s="77">
        <v>3</v>
      </c>
      <c r="E265" s="77">
        <v>2</v>
      </c>
      <c r="F265" s="79">
        <f t="shared" si="4"/>
        <v>6932.7380000000003</v>
      </c>
      <c r="J265" s="78">
        <v>11729</v>
      </c>
      <c r="K265" s="78" t="s">
        <v>172</v>
      </c>
      <c r="L265" s="78">
        <v>6932.7380000000003</v>
      </c>
    </row>
    <row r="266" spans="1:12">
      <c r="A266" s="77">
        <v>104635</v>
      </c>
      <c r="B266" s="77">
        <v>11732</v>
      </c>
      <c r="C266" s="77" t="s">
        <v>180</v>
      </c>
      <c r="D266" s="77">
        <v>1.75</v>
      </c>
      <c r="E266" s="77">
        <v>2</v>
      </c>
      <c r="F266" s="79">
        <f t="shared" si="4"/>
        <v>4956.4930000000004</v>
      </c>
      <c r="J266" s="78">
        <v>11732</v>
      </c>
      <c r="K266" s="78" t="s">
        <v>173</v>
      </c>
      <c r="L266" s="78">
        <v>4956.4930000000004</v>
      </c>
    </row>
    <row r="267" spans="1:12">
      <c r="A267" s="77">
        <v>31911</v>
      </c>
      <c r="B267" s="77">
        <v>11734</v>
      </c>
      <c r="C267" s="77" t="s">
        <v>180</v>
      </c>
      <c r="D267" s="77">
        <v>2.5</v>
      </c>
      <c r="E267" s="77">
        <v>2</v>
      </c>
      <c r="F267" s="79">
        <f t="shared" si="4"/>
        <v>1524.7619999999999</v>
      </c>
      <c r="J267" s="78">
        <v>11734</v>
      </c>
      <c r="K267" s="78" t="s">
        <v>173</v>
      </c>
      <c r="L267" s="78">
        <v>1524.7619999999999</v>
      </c>
    </row>
    <row r="268" spans="1:12">
      <c r="A268" s="77">
        <v>58345</v>
      </c>
      <c r="B268" s="77">
        <v>11739</v>
      </c>
      <c r="C268" s="77" t="s">
        <v>180</v>
      </c>
      <c r="D268" s="77">
        <v>5</v>
      </c>
      <c r="E268" s="77">
        <v>2</v>
      </c>
      <c r="F268" s="79">
        <f t="shared" si="4"/>
        <v>1524.7619999999999</v>
      </c>
      <c r="J268" s="78">
        <v>11739</v>
      </c>
      <c r="K268" s="78" t="s">
        <v>173</v>
      </c>
      <c r="L268" s="78">
        <v>1524.7619999999999</v>
      </c>
    </row>
    <row r="269" spans="1:12">
      <c r="A269" s="77">
        <v>211042</v>
      </c>
      <c r="B269" s="77">
        <v>11749</v>
      </c>
      <c r="C269" s="77" t="s">
        <v>180</v>
      </c>
      <c r="D269" s="77">
        <v>2</v>
      </c>
      <c r="E269" s="77">
        <v>1</v>
      </c>
      <c r="F269" s="79">
        <f t="shared" si="4"/>
        <v>1464.694</v>
      </c>
      <c r="J269" s="78">
        <v>11749</v>
      </c>
      <c r="K269" s="78" t="s">
        <v>173</v>
      </c>
      <c r="L269" s="78">
        <v>1464.694</v>
      </c>
    </row>
    <row r="270" spans="1:12">
      <c r="A270" s="77">
        <v>73893</v>
      </c>
      <c r="B270" s="77">
        <v>11752</v>
      </c>
      <c r="C270" s="77" t="s">
        <v>180</v>
      </c>
      <c r="D270" s="77">
        <v>2</v>
      </c>
      <c r="E270" s="77">
        <v>1</v>
      </c>
      <c r="F270" s="79">
        <f t="shared" si="4"/>
        <v>2003.7159999999999</v>
      </c>
      <c r="J270" s="78">
        <v>11752</v>
      </c>
      <c r="K270" s="78" t="s">
        <v>173</v>
      </c>
      <c r="L270" s="78">
        <v>2003.7159999999999</v>
      </c>
    </row>
    <row r="271" spans="1:12">
      <c r="A271" s="77">
        <v>88875</v>
      </c>
      <c r="B271" s="77">
        <v>11753</v>
      </c>
      <c r="C271" s="77" t="s">
        <v>180</v>
      </c>
      <c r="D271" s="77">
        <v>1.5</v>
      </c>
      <c r="E271" s="77">
        <v>3</v>
      </c>
      <c r="F271" s="79">
        <f t="shared" si="4"/>
        <v>2003.7159999999999</v>
      </c>
      <c r="J271" s="78">
        <v>11753</v>
      </c>
      <c r="K271" s="78" t="s">
        <v>173</v>
      </c>
      <c r="L271" s="78">
        <v>2003.7159999999999</v>
      </c>
    </row>
    <row r="272" spans="1:12">
      <c r="A272" s="77">
        <v>659853</v>
      </c>
      <c r="B272" s="77">
        <v>11762</v>
      </c>
      <c r="C272" s="77" t="s">
        <v>180</v>
      </c>
      <c r="D272" s="77">
        <v>2.5</v>
      </c>
      <c r="E272" s="77">
        <v>2</v>
      </c>
      <c r="F272" s="79">
        <f t="shared" si="4"/>
        <v>1464.694</v>
      </c>
      <c r="J272" s="78">
        <v>11762</v>
      </c>
      <c r="K272" s="78" t="s">
        <v>173</v>
      </c>
      <c r="L272" s="78">
        <v>1464.694</v>
      </c>
    </row>
    <row r="273" spans="1:12">
      <c r="A273" s="77">
        <v>130510</v>
      </c>
      <c r="B273" s="77">
        <v>11766</v>
      </c>
      <c r="C273" s="77" t="s">
        <v>180</v>
      </c>
      <c r="D273" s="77">
        <v>2.5</v>
      </c>
      <c r="E273" s="77">
        <v>2</v>
      </c>
      <c r="F273" s="79">
        <f t="shared" si="4"/>
        <v>4956.4930000000004</v>
      </c>
      <c r="J273" s="78">
        <v>11766</v>
      </c>
      <c r="K273" s="78" t="s">
        <v>173</v>
      </c>
      <c r="L273" s="78">
        <v>4956.4930000000004</v>
      </c>
    </row>
    <row r="274" spans="1:12">
      <c r="A274" s="77">
        <v>100977</v>
      </c>
      <c r="B274" s="77">
        <v>11769</v>
      </c>
      <c r="C274" s="77" t="s">
        <v>180</v>
      </c>
      <c r="D274" s="77">
        <v>2.5</v>
      </c>
      <c r="E274" s="77">
        <v>2</v>
      </c>
      <c r="F274" s="79">
        <f t="shared" si="4"/>
        <v>4956.4930000000004</v>
      </c>
      <c r="J274" s="78">
        <v>11769</v>
      </c>
      <c r="K274" s="78" t="s">
        <v>173</v>
      </c>
      <c r="L274" s="78">
        <v>4956.4930000000004</v>
      </c>
    </row>
    <row r="275" spans="1:12">
      <c r="A275" s="77">
        <v>719021</v>
      </c>
      <c r="B275" s="77">
        <v>11772</v>
      </c>
      <c r="C275" s="77" t="s">
        <v>180</v>
      </c>
      <c r="D275" s="77">
        <v>2.5</v>
      </c>
      <c r="E275" s="77">
        <v>1</v>
      </c>
      <c r="F275" s="79">
        <f t="shared" si="4"/>
        <v>1464.694</v>
      </c>
      <c r="J275" s="78">
        <v>11772</v>
      </c>
      <c r="K275" s="78" t="s">
        <v>173</v>
      </c>
      <c r="L275" s="78">
        <v>1464.694</v>
      </c>
    </row>
    <row r="276" spans="1:12">
      <c r="A276" s="77">
        <v>206960</v>
      </c>
      <c r="B276" s="77">
        <v>11774</v>
      </c>
      <c r="C276" s="77" t="s">
        <v>180</v>
      </c>
      <c r="D276" s="77">
        <v>1.7</v>
      </c>
      <c r="E276" s="77">
        <v>3</v>
      </c>
      <c r="F276" s="79">
        <f t="shared" si="4"/>
        <v>6932.7380000000003</v>
      </c>
      <c r="J276" s="78">
        <v>11774</v>
      </c>
      <c r="K276" s="78" t="s">
        <v>172</v>
      </c>
      <c r="L276" s="78">
        <v>6932.7380000000003</v>
      </c>
    </row>
    <row r="277" spans="1:12">
      <c r="A277" s="77">
        <v>237819</v>
      </c>
      <c r="B277" s="77">
        <v>11775</v>
      </c>
      <c r="C277" s="77" t="s">
        <v>182</v>
      </c>
      <c r="D277" s="77">
        <v>2.25</v>
      </c>
      <c r="E277" s="77">
        <v>2</v>
      </c>
      <c r="F277" s="79">
        <f t="shared" si="4"/>
        <v>4956.4930000000004</v>
      </c>
      <c r="J277" s="78">
        <v>11775</v>
      </c>
      <c r="K277" s="78" t="s">
        <v>173</v>
      </c>
      <c r="L277" s="78">
        <v>4956.4930000000004</v>
      </c>
    </row>
    <row r="278" spans="1:12">
      <c r="A278" s="77">
        <v>37715</v>
      </c>
      <c r="B278" s="77">
        <v>11779</v>
      </c>
      <c r="C278" s="77" t="s">
        <v>180</v>
      </c>
      <c r="D278" s="77">
        <v>1</v>
      </c>
      <c r="E278" s="77">
        <v>1</v>
      </c>
      <c r="F278" s="79">
        <f t="shared" si="4"/>
        <v>1524.7619999999999</v>
      </c>
      <c r="J278" s="78">
        <v>11779</v>
      </c>
      <c r="K278" s="78" t="s">
        <v>173</v>
      </c>
      <c r="L278" s="78">
        <v>1524.7619999999999</v>
      </c>
    </row>
    <row r="279" spans="1:12">
      <c r="A279" s="77">
        <v>657944</v>
      </c>
      <c r="B279" s="77">
        <v>11780</v>
      </c>
      <c r="C279" s="77" t="s">
        <v>180</v>
      </c>
      <c r="D279" s="77">
        <v>2.5</v>
      </c>
      <c r="E279" s="77">
        <v>1</v>
      </c>
      <c r="F279" s="79">
        <f t="shared" si="4"/>
        <v>1150.8789999999999</v>
      </c>
      <c r="J279" s="78">
        <v>11780</v>
      </c>
      <c r="K279" s="78" t="s">
        <v>173</v>
      </c>
      <c r="L279" s="78">
        <v>1150.8789999999999</v>
      </c>
    </row>
    <row r="280" spans="1:12">
      <c r="A280" s="77">
        <v>109834</v>
      </c>
      <c r="B280" s="77">
        <v>11788</v>
      </c>
      <c r="C280" s="77" t="s">
        <v>180</v>
      </c>
      <c r="D280" s="77">
        <v>2</v>
      </c>
      <c r="E280" s="77">
        <v>2</v>
      </c>
      <c r="F280" s="79">
        <f t="shared" si="4"/>
        <v>4956.4930000000004</v>
      </c>
      <c r="J280" s="78">
        <v>11788</v>
      </c>
      <c r="K280" s="78" t="s">
        <v>173</v>
      </c>
      <c r="L280" s="78">
        <v>4956.4930000000004</v>
      </c>
    </row>
    <row r="281" spans="1:12">
      <c r="A281" s="77">
        <v>211948</v>
      </c>
      <c r="B281" s="77">
        <v>11794</v>
      </c>
      <c r="C281" s="77" t="s">
        <v>180</v>
      </c>
      <c r="D281" s="77">
        <v>2.25</v>
      </c>
      <c r="E281" s="77">
        <v>1</v>
      </c>
      <c r="F281" s="79">
        <f t="shared" si="4"/>
        <v>1464.694</v>
      </c>
      <c r="J281" s="78">
        <v>11794</v>
      </c>
      <c r="K281" s="78" t="s">
        <v>173</v>
      </c>
      <c r="L281" s="78">
        <v>1464.694</v>
      </c>
    </row>
    <row r="282" spans="1:12">
      <c r="A282" s="77">
        <v>38124</v>
      </c>
      <c r="B282" s="77">
        <v>11802</v>
      </c>
      <c r="C282" s="77" t="s">
        <v>180</v>
      </c>
      <c r="D282" s="77">
        <v>2.5</v>
      </c>
      <c r="E282" s="77">
        <v>1</v>
      </c>
      <c r="F282" s="79">
        <f t="shared" si="4"/>
        <v>1188.027</v>
      </c>
      <c r="J282" s="78">
        <v>11802</v>
      </c>
      <c r="K282" s="78" t="s">
        <v>172</v>
      </c>
      <c r="L282" s="78">
        <v>1188.027</v>
      </c>
    </row>
    <row r="283" spans="1:12">
      <c r="A283" s="77">
        <v>158509</v>
      </c>
      <c r="B283" s="77">
        <v>11808</v>
      </c>
      <c r="C283" s="77" t="s">
        <v>180</v>
      </c>
      <c r="D283" s="77">
        <v>2.75</v>
      </c>
      <c r="E283" s="77">
        <v>2</v>
      </c>
      <c r="F283" s="79">
        <f t="shared" si="4"/>
        <v>4956.4930000000004</v>
      </c>
      <c r="J283" s="78">
        <v>11808</v>
      </c>
      <c r="K283" s="78" t="s">
        <v>173</v>
      </c>
      <c r="L283" s="78">
        <v>4956.4930000000004</v>
      </c>
    </row>
    <row r="284" spans="1:12">
      <c r="A284" s="77">
        <v>182875</v>
      </c>
      <c r="B284" s="77">
        <v>11815</v>
      </c>
      <c r="C284" s="77" t="s">
        <v>180</v>
      </c>
      <c r="D284" s="77">
        <v>2</v>
      </c>
      <c r="E284" s="77">
        <v>2</v>
      </c>
      <c r="F284" s="79">
        <f t="shared" si="4"/>
        <v>6932.7380000000003</v>
      </c>
      <c r="J284" s="78">
        <v>11815</v>
      </c>
      <c r="K284" s="78" t="s">
        <v>172</v>
      </c>
      <c r="L284" s="78">
        <v>6932.7380000000003</v>
      </c>
    </row>
    <row r="285" spans="1:12">
      <c r="A285" s="77">
        <v>803222</v>
      </c>
      <c r="B285" s="77">
        <v>11825</v>
      </c>
      <c r="C285" s="77" t="s">
        <v>180</v>
      </c>
      <c r="D285" s="77">
        <v>2.25</v>
      </c>
      <c r="E285" s="77">
        <v>2</v>
      </c>
      <c r="F285" s="79">
        <f t="shared" si="4"/>
        <v>1464.694</v>
      </c>
      <c r="J285" s="78">
        <v>11825</v>
      </c>
      <c r="K285" s="78" t="s">
        <v>173</v>
      </c>
      <c r="L285" s="78">
        <v>1464.694</v>
      </c>
    </row>
    <row r="286" spans="1:12">
      <c r="A286" s="77">
        <v>118786</v>
      </c>
      <c r="B286" s="77">
        <v>11827</v>
      </c>
      <c r="C286" s="77" t="s">
        <v>180</v>
      </c>
      <c r="D286" s="77">
        <v>2.5</v>
      </c>
      <c r="E286" s="77">
        <v>3</v>
      </c>
      <c r="F286" s="79">
        <f t="shared" si="4"/>
        <v>4956.4930000000004</v>
      </c>
      <c r="J286" s="78">
        <v>11827</v>
      </c>
      <c r="K286" s="78" t="s">
        <v>173</v>
      </c>
      <c r="L286" s="78">
        <v>4956.4930000000004</v>
      </c>
    </row>
    <row r="287" spans="1:12">
      <c r="A287" s="77">
        <v>202325</v>
      </c>
      <c r="B287" s="77">
        <v>11835</v>
      </c>
      <c r="C287" s="77" t="s">
        <v>180</v>
      </c>
      <c r="D287" s="77">
        <v>2</v>
      </c>
      <c r="E287" s="77">
        <v>2</v>
      </c>
      <c r="F287" s="79">
        <f t="shared" si="4"/>
        <v>1464.694</v>
      </c>
      <c r="J287" s="78">
        <v>11835</v>
      </c>
      <c r="K287" s="78" t="s">
        <v>173</v>
      </c>
      <c r="L287" s="78">
        <v>1464.694</v>
      </c>
    </row>
    <row r="288" spans="1:12">
      <c r="A288" s="77">
        <v>96584</v>
      </c>
      <c r="B288" s="77">
        <v>11836</v>
      </c>
      <c r="C288" s="77" t="s">
        <v>180</v>
      </c>
      <c r="D288" s="77">
        <v>2</v>
      </c>
      <c r="E288" s="77">
        <v>1</v>
      </c>
      <c r="F288" s="79">
        <f t="shared" si="4"/>
        <v>2003.7159999999999</v>
      </c>
      <c r="J288" s="78">
        <v>11836</v>
      </c>
      <c r="K288" s="78" t="s">
        <v>173</v>
      </c>
      <c r="L288" s="78">
        <v>2003.7159999999999</v>
      </c>
    </row>
    <row r="289" spans="1:12">
      <c r="A289" s="77">
        <v>77535</v>
      </c>
      <c r="B289" s="77">
        <v>11838</v>
      </c>
      <c r="C289" s="77" t="s">
        <v>180</v>
      </c>
      <c r="D289" s="77">
        <v>1.5</v>
      </c>
      <c r="E289" s="77">
        <v>2</v>
      </c>
      <c r="F289" s="79">
        <f t="shared" si="4"/>
        <v>2003.7159999999999</v>
      </c>
      <c r="J289" s="78">
        <v>11838</v>
      </c>
      <c r="K289" s="78" t="s">
        <v>173</v>
      </c>
      <c r="L289" s="78">
        <v>2003.7159999999999</v>
      </c>
    </row>
    <row r="290" spans="1:12">
      <c r="A290" s="77">
        <v>724324</v>
      </c>
      <c r="B290" s="77">
        <v>11842</v>
      </c>
      <c r="C290" s="77" t="s">
        <v>180</v>
      </c>
      <c r="D290" s="77">
        <v>1.5</v>
      </c>
      <c r="E290" s="77">
        <v>1</v>
      </c>
      <c r="F290" s="79">
        <f t="shared" si="4"/>
        <v>4956.4930000000004</v>
      </c>
      <c r="J290" s="78">
        <v>11842</v>
      </c>
      <c r="K290" s="78" t="s">
        <v>173</v>
      </c>
      <c r="L290" s="78">
        <v>4956.4930000000004</v>
      </c>
    </row>
    <row r="291" spans="1:12">
      <c r="A291" s="77">
        <v>823533</v>
      </c>
      <c r="B291" s="77">
        <v>11844</v>
      </c>
      <c r="C291" s="77" t="s">
        <v>180</v>
      </c>
      <c r="D291" s="77">
        <v>0.75</v>
      </c>
      <c r="E291" s="77">
        <v>1</v>
      </c>
      <c r="F291" s="79">
        <f t="shared" si="4"/>
        <v>4956.4930000000004</v>
      </c>
      <c r="J291" s="78">
        <v>11844</v>
      </c>
      <c r="K291" s="78" t="s">
        <v>173</v>
      </c>
      <c r="L291" s="78">
        <v>4956.4930000000004</v>
      </c>
    </row>
    <row r="292" spans="1:12">
      <c r="A292" s="77">
        <v>89041</v>
      </c>
      <c r="B292" s="77">
        <v>11860</v>
      </c>
      <c r="C292" s="77" t="s">
        <v>180</v>
      </c>
      <c r="D292" s="77">
        <v>2.25</v>
      </c>
      <c r="E292" s="77">
        <v>2</v>
      </c>
      <c r="F292" s="79">
        <f t="shared" si="4"/>
        <v>2003.7159999999999</v>
      </c>
      <c r="J292" s="78">
        <v>11860</v>
      </c>
      <c r="K292" s="78" t="s">
        <v>173</v>
      </c>
      <c r="L292" s="78">
        <v>2003.7159999999999</v>
      </c>
    </row>
    <row r="293" spans="1:12">
      <c r="A293" s="77">
        <v>116773</v>
      </c>
      <c r="B293" s="77">
        <v>11871</v>
      </c>
      <c r="C293" s="77" t="s">
        <v>180</v>
      </c>
      <c r="D293" s="77">
        <v>1</v>
      </c>
      <c r="E293" s="77">
        <v>2</v>
      </c>
      <c r="F293" s="79">
        <f t="shared" si="4"/>
        <v>4956.4930000000004</v>
      </c>
      <c r="J293" s="78">
        <v>11871</v>
      </c>
      <c r="K293" s="78" t="s">
        <v>173</v>
      </c>
      <c r="L293" s="78">
        <v>4956.4930000000004</v>
      </c>
    </row>
    <row r="294" spans="1:12">
      <c r="A294" s="77">
        <v>41982</v>
      </c>
      <c r="B294" s="77">
        <v>11872</v>
      </c>
      <c r="C294" s="77" t="s">
        <v>180</v>
      </c>
      <c r="D294" s="77">
        <v>2</v>
      </c>
      <c r="E294" s="77">
        <v>1</v>
      </c>
      <c r="F294" s="79">
        <f t="shared" si="4"/>
        <v>1524.7619999999999</v>
      </c>
      <c r="J294" s="78">
        <v>11872</v>
      </c>
      <c r="K294" s="78" t="s">
        <v>173</v>
      </c>
      <c r="L294" s="78">
        <v>1524.7619999999999</v>
      </c>
    </row>
    <row r="295" spans="1:12">
      <c r="A295" s="77">
        <v>45322</v>
      </c>
      <c r="B295" s="77">
        <v>11873</v>
      </c>
      <c r="C295" s="77" t="s">
        <v>180</v>
      </c>
      <c r="D295" s="77">
        <v>1.5</v>
      </c>
      <c r="E295" s="77">
        <v>2</v>
      </c>
      <c r="F295" s="79">
        <f t="shared" si="4"/>
        <v>1524.7619999999999</v>
      </c>
      <c r="J295" s="78">
        <v>11873</v>
      </c>
      <c r="K295" s="78" t="s">
        <v>173</v>
      </c>
      <c r="L295" s="78">
        <v>1524.7619999999999</v>
      </c>
    </row>
    <row r="296" spans="1:12">
      <c r="A296" s="77">
        <v>137212</v>
      </c>
      <c r="B296" s="77">
        <v>11880</v>
      </c>
      <c r="C296" s="77" t="s">
        <v>180</v>
      </c>
      <c r="D296" s="77">
        <v>2</v>
      </c>
      <c r="E296" s="77">
        <v>1</v>
      </c>
      <c r="F296" s="79">
        <f t="shared" si="4"/>
        <v>2003.7159999999999</v>
      </c>
      <c r="J296" s="78">
        <v>11880</v>
      </c>
      <c r="K296" s="78" t="s">
        <v>173</v>
      </c>
      <c r="L296" s="78">
        <v>2003.7159999999999</v>
      </c>
    </row>
    <row r="297" spans="1:12">
      <c r="A297" s="77">
        <v>718027</v>
      </c>
      <c r="B297" s="77">
        <v>11894</v>
      </c>
      <c r="C297" s="77" t="s">
        <v>180</v>
      </c>
      <c r="D297" s="77">
        <v>2.25</v>
      </c>
      <c r="E297" s="77">
        <v>2</v>
      </c>
      <c r="F297" s="79">
        <f t="shared" si="4"/>
        <v>4956.4930000000004</v>
      </c>
      <c r="J297" s="78">
        <v>11894</v>
      </c>
      <c r="K297" s="78" t="s">
        <v>173</v>
      </c>
      <c r="L297" s="78">
        <v>4956.4930000000004</v>
      </c>
    </row>
    <row r="298" spans="1:12">
      <c r="A298" s="77">
        <v>64495</v>
      </c>
      <c r="B298" s="77">
        <v>11896</v>
      </c>
      <c r="C298" s="77" t="s">
        <v>180</v>
      </c>
      <c r="D298" s="77">
        <v>2</v>
      </c>
      <c r="E298" s="77">
        <v>3</v>
      </c>
      <c r="F298" s="79">
        <f t="shared" si="4"/>
        <v>2003.7159999999999</v>
      </c>
      <c r="J298" s="78">
        <v>11896</v>
      </c>
      <c r="K298" s="78" t="s">
        <v>173</v>
      </c>
      <c r="L298" s="78">
        <v>2003.7159999999999</v>
      </c>
    </row>
    <row r="299" spans="1:12">
      <c r="A299" s="77">
        <v>49071</v>
      </c>
      <c r="B299" s="77">
        <v>11900</v>
      </c>
      <c r="C299" s="77" t="s">
        <v>180</v>
      </c>
      <c r="D299" s="77">
        <v>2</v>
      </c>
      <c r="E299" s="77">
        <v>1</v>
      </c>
      <c r="F299" s="79">
        <f t="shared" si="4"/>
        <v>1524.7619999999999</v>
      </c>
      <c r="J299" s="78">
        <v>11900</v>
      </c>
      <c r="K299" s="78" t="s">
        <v>173</v>
      </c>
      <c r="L299" s="78">
        <v>1524.7619999999999</v>
      </c>
    </row>
    <row r="300" spans="1:12">
      <c r="A300" s="77">
        <v>206489</v>
      </c>
      <c r="B300" s="77">
        <v>11904</v>
      </c>
      <c r="C300" s="77" t="s">
        <v>180</v>
      </c>
      <c r="D300" s="77">
        <v>2.5</v>
      </c>
      <c r="E300" s="77">
        <v>2</v>
      </c>
      <c r="F300" s="79">
        <f t="shared" si="4"/>
        <v>1464.694</v>
      </c>
      <c r="J300" s="78">
        <v>11904</v>
      </c>
      <c r="K300" s="78" t="s">
        <v>173</v>
      </c>
      <c r="L300" s="78">
        <v>1464.694</v>
      </c>
    </row>
    <row r="301" spans="1:12">
      <c r="A301" s="77">
        <v>69692</v>
      </c>
      <c r="B301" s="77">
        <v>11908</v>
      </c>
      <c r="C301" s="77" t="s">
        <v>180</v>
      </c>
      <c r="D301" s="77">
        <v>2.25</v>
      </c>
      <c r="E301" s="77">
        <v>2</v>
      </c>
      <c r="F301" s="79">
        <f t="shared" si="4"/>
        <v>2003.7159999999999</v>
      </c>
      <c r="J301" s="78">
        <v>11908</v>
      </c>
      <c r="K301" s="78" t="s">
        <v>173</v>
      </c>
      <c r="L301" s="78">
        <v>2003.7159999999999</v>
      </c>
    </row>
    <row r="302" spans="1:12">
      <c r="A302" s="77">
        <v>66996</v>
      </c>
      <c r="B302" s="77">
        <v>11910</v>
      </c>
      <c r="C302" s="77" t="s">
        <v>180</v>
      </c>
      <c r="D302" s="77">
        <v>1.25</v>
      </c>
      <c r="E302" s="77">
        <v>3</v>
      </c>
      <c r="F302" s="79">
        <f t="shared" si="4"/>
        <v>2003.7159999999999</v>
      </c>
      <c r="J302" s="78">
        <v>11910</v>
      </c>
      <c r="K302" s="78" t="s">
        <v>173</v>
      </c>
      <c r="L302" s="78">
        <v>2003.7159999999999</v>
      </c>
    </row>
    <row r="303" spans="1:12">
      <c r="A303" s="77">
        <v>159065</v>
      </c>
      <c r="B303" s="77">
        <v>11914</v>
      </c>
      <c r="C303" s="77" t="s">
        <v>180</v>
      </c>
      <c r="D303" s="77">
        <v>2.2999999999999998</v>
      </c>
      <c r="E303" s="77">
        <v>2</v>
      </c>
      <c r="F303" s="79">
        <f t="shared" si="4"/>
        <v>6932.7380000000003</v>
      </c>
      <c r="J303" s="78">
        <v>11914</v>
      </c>
      <c r="K303" s="78" t="s">
        <v>172</v>
      </c>
      <c r="L303" s="78">
        <v>6932.7380000000003</v>
      </c>
    </row>
    <row r="304" spans="1:12">
      <c r="A304" s="77">
        <v>227000</v>
      </c>
      <c r="B304" s="77">
        <v>11925</v>
      </c>
      <c r="C304" s="77" t="s">
        <v>180</v>
      </c>
      <c r="D304" s="77">
        <v>2.25</v>
      </c>
      <c r="E304" s="77">
        <v>2</v>
      </c>
      <c r="F304" s="79">
        <f t="shared" si="4"/>
        <v>4956.4930000000004</v>
      </c>
      <c r="J304" s="78">
        <v>11925</v>
      </c>
      <c r="K304" s="78" t="s">
        <v>173</v>
      </c>
      <c r="L304" s="78">
        <v>4956.4930000000004</v>
      </c>
    </row>
    <row r="305" spans="1:12">
      <c r="A305" s="77">
        <v>99347</v>
      </c>
      <c r="B305" s="77">
        <v>11933</v>
      </c>
      <c r="C305" s="77" t="s">
        <v>180</v>
      </c>
      <c r="D305" s="77">
        <v>2</v>
      </c>
      <c r="E305" s="77">
        <v>1</v>
      </c>
      <c r="F305" s="79">
        <f t="shared" si="4"/>
        <v>2003.7159999999999</v>
      </c>
      <c r="J305" s="78">
        <v>11933</v>
      </c>
      <c r="K305" s="78" t="s">
        <v>173</v>
      </c>
      <c r="L305" s="78">
        <v>2003.7159999999999</v>
      </c>
    </row>
    <row r="306" spans="1:12">
      <c r="A306" s="77">
        <v>234954</v>
      </c>
      <c r="B306" s="77">
        <v>11943</v>
      </c>
      <c r="C306" s="77" t="s">
        <v>180</v>
      </c>
      <c r="D306" s="77">
        <v>2.5</v>
      </c>
      <c r="E306" s="77">
        <v>2</v>
      </c>
      <c r="F306" s="79">
        <f t="shared" si="4"/>
        <v>4956.4930000000004</v>
      </c>
      <c r="J306" s="78">
        <v>11943</v>
      </c>
      <c r="K306" s="78" t="s">
        <v>173</v>
      </c>
      <c r="L306" s="78">
        <v>4956.4930000000004</v>
      </c>
    </row>
    <row r="307" spans="1:12">
      <c r="A307" s="77">
        <v>802343</v>
      </c>
      <c r="B307" s="77">
        <v>11953</v>
      </c>
      <c r="C307" s="77" t="s">
        <v>180</v>
      </c>
      <c r="D307" s="77">
        <v>0.75</v>
      </c>
      <c r="E307" s="77">
        <v>2</v>
      </c>
      <c r="F307" s="79">
        <f t="shared" si="4"/>
        <v>2003.7159999999999</v>
      </c>
      <c r="J307" s="78">
        <v>11953</v>
      </c>
      <c r="K307" s="78" t="s">
        <v>173</v>
      </c>
      <c r="L307" s="78">
        <v>2003.7159999999999</v>
      </c>
    </row>
    <row r="308" spans="1:12">
      <c r="A308" s="77">
        <v>75653</v>
      </c>
      <c r="B308" s="77">
        <v>11954</v>
      </c>
      <c r="C308" s="77" t="s">
        <v>180</v>
      </c>
      <c r="D308" s="77">
        <v>3</v>
      </c>
      <c r="E308" s="77">
        <v>1</v>
      </c>
      <c r="F308" s="79">
        <f t="shared" si="4"/>
        <v>1524.7619999999999</v>
      </c>
      <c r="J308" s="78">
        <v>11954</v>
      </c>
      <c r="K308" s="78" t="s">
        <v>173</v>
      </c>
      <c r="L308" s="78">
        <v>1524.7619999999999</v>
      </c>
    </row>
    <row r="309" spans="1:12">
      <c r="A309" s="77">
        <v>206856</v>
      </c>
      <c r="B309" s="77">
        <v>11958</v>
      </c>
      <c r="C309" s="77" t="s">
        <v>180</v>
      </c>
      <c r="D309" s="77">
        <v>2.2000000000000002</v>
      </c>
      <c r="E309" s="77">
        <v>1</v>
      </c>
      <c r="F309" s="79">
        <f t="shared" si="4"/>
        <v>6932.7380000000003</v>
      </c>
      <c r="J309" s="78">
        <v>11958</v>
      </c>
      <c r="K309" s="78" t="s">
        <v>172</v>
      </c>
      <c r="L309" s="78">
        <v>6932.7380000000003</v>
      </c>
    </row>
    <row r="310" spans="1:12">
      <c r="A310" s="77">
        <v>198810</v>
      </c>
      <c r="B310" s="77">
        <v>11967</v>
      </c>
      <c r="C310" s="77" t="s">
        <v>180</v>
      </c>
      <c r="D310" s="77">
        <v>3</v>
      </c>
      <c r="E310" s="77">
        <v>2</v>
      </c>
      <c r="F310" s="79">
        <f t="shared" si="4"/>
        <v>6932.7380000000003</v>
      </c>
      <c r="J310" s="78">
        <v>11967</v>
      </c>
      <c r="K310" s="78" t="s">
        <v>172</v>
      </c>
      <c r="L310" s="78">
        <v>6932.7380000000003</v>
      </c>
    </row>
    <row r="311" spans="1:12">
      <c r="A311" s="77">
        <v>41514</v>
      </c>
      <c r="B311" s="77">
        <v>11971</v>
      </c>
      <c r="C311" s="77" t="s">
        <v>180</v>
      </c>
      <c r="D311" s="77">
        <v>1.75</v>
      </c>
      <c r="E311" s="77">
        <v>2</v>
      </c>
      <c r="F311" s="79">
        <f t="shared" si="4"/>
        <v>1524.7619999999999</v>
      </c>
      <c r="J311" s="78">
        <v>11971</v>
      </c>
      <c r="K311" s="78" t="s">
        <v>173</v>
      </c>
      <c r="L311" s="78">
        <v>1524.7619999999999</v>
      </c>
    </row>
    <row r="312" spans="1:12">
      <c r="A312" s="77">
        <v>56920</v>
      </c>
      <c r="B312" s="77">
        <v>11978</v>
      </c>
      <c r="C312" s="77" t="s">
        <v>180</v>
      </c>
      <c r="D312" s="77">
        <v>3</v>
      </c>
      <c r="E312" s="77">
        <v>2</v>
      </c>
      <c r="F312" s="79">
        <f t="shared" si="4"/>
        <v>1188.027</v>
      </c>
      <c r="J312" s="78">
        <v>11978</v>
      </c>
      <c r="K312" s="78" t="s">
        <v>172</v>
      </c>
      <c r="L312" s="78">
        <v>1188.027</v>
      </c>
    </row>
    <row r="313" spans="1:12">
      <c r="A313" s="77">
        <v>65588</v>
      </c>
      <c r="B313" s="77">
        <v>11980</v>
      </c>
      <c r="C313" s="77" t="s">
        <v>180</v>
      </c>
      <c r="D313" s="77">
        <v>3</v>
      </c>
      <c r="E313" s="77">
        <v>1</v>
      </c>
      <c r="F313" s="79">
        <f t="shared" si="4"/>
        <v>1524.7619999999999</v>
      </c>
      <c r="J313" s="78">
        <v>11980</v>
      </c>
      <c r="K313" s="78" t="s">
        <v>173</v>
      </c>
      <c r="L313" s="78">
        <v>1524.7619999999999</v>
      </c>
    </row>
    <row r="314" spans="1:12">
      <c r="A314" s="77">
        <v>34682</v>
      </c>
      <c r="B314" s="77">
        <v>11988</v>
      </c>
      <c r="C314" s="77" t="s">
        <v>180</v>
      </c>
      <c r="D314" s="77">
        <v>3</v>
      </c>
      <c r="E314" s="77">
        <v>1</v>
      </c>
      <c r="F314" s="79">
        <f t="shared" si="4"/>
        <v>1188.027</v>
      </c>
      <c r="J314" s="78">
        <v>11988</v>
      </c>
      <c r="K314" s="78" t="s">
        <v>172</v>
      </c>
      <c r="L314" s="78">
        <v>1188.027</v>
      </c>
    </row>
    <row r="315" spans="1:12">
      <c r="A315" s="77">
        <v>83807</v>
      </c>
      <c r="B315" s="77">
        <v>11992</v>
      </c>
      <c r="C315" s="77" t="s">
        <v>180</v>
      </c>
      <c r="D315" s="77">
        <v>1.25</v>
      </c>
      <c r="E315" s="77">
        <v>2</v>
      </c>
      <c r="F315" s="79">
        <f t="shared" si="4"/>
        <v>1524.7619999999999</v>
      </c>
      <c r="J315" s="78">
        <v>11992</v>
      </c>
      <c r="K315" s="78" t="s">
        <v>173</v>
      </c>
      <c r="L315" s="78">
        <v>1524.7619999999999</v>
      </c>
    </row>
    <row r="316" spans="1:12">
      <c r="A316" s="77">
        <v>85736</v>
      </c>
      <c r="B316" s="77">
        <v>11993</v>
      </c>
      <c r="C316" s="77" t="s">
        <v>180</v>
      </c>
      <c r="D316" s="77">
        <v>1.25</v>
      </c>
      <c r="E316" s="77">
        <v>1</v>
      </c>
      <c r="F316" s="79">
        <f t="shared" si="4"/>
        <v>2003.7159999999999</v>
      </c>
      <c r="J316" s="78">
        <v>11993</v>
      </c>
      <c r="K316" s="78" t="s">
        <v>173</v>
      </c>
      <c r="L316" s="78">
        <v>2003.7159999999999</v>
      </c>
    </row>
    <row r="317" spans="1:12">
      <c r="A317" s="77">
        <v>37147</v>
      </c>
      <c r="B317" s="77">
        <v>12016</v>
      </c>
      <c r="C317" s="77" t="s">
        <v>180</v>
      </c>
      <c r="D317" s="77">
        <v>1.5</v>
      </c>
      <c r="E317" s="77">
        <v>1</v>
      </c>
      <c r="F317" s="79">
        <f t="shared" si="4"/>
        <v>1524.7619999999999</v>
      </c>
      <c r="J317" s="78">
        <v>12016</v>
      </c>
      <c r="K317" s="78" t="s">
        <v>173</v>
      </c>
      <c r="L317" s="78">
        <v>1524.7619999999999</v>
      </c>
    </row>
    <row r="318" spans="1:12">
      <c r="A318" s="77">
        <v>120761</v>
      </c>
      <c r="B318" s="77">
        <v>12018</v>
      </c>
      <c r="C318" s="77" t="s">
        <v>180</v>
      </c>
      <c r="D318" s="77">
        <v>1.5</v>
      </c>
      <c r="E318" s="77">
        <v>2</v>
      </c>
      <c r="F318" s="79">
        <f t="shared" si="4"/>
        <v>6932.7380000000003</v>
      </c>
      <c r="J318" s="78">
        <v>12018</v>
      </c>
      <c r="K318" s="78" t="s">
        <v>172</v>
      </c>
      <c r="L318" s="78">
        <v>6932.7380000000003</v>
      </c>
    </row>
    <row r="319" spans="1:12">
      <c r="A319" s="77">
        <v>31009</v>
      </c>
      <c r="B319" s="77">
        <v>12022</v>
      </c>
      <c r="C319" s="77" t="s">
        <v>180</v>
      </c>
      <c r="D319" s="77">
        <v>1.5</v>
      </c>
      <c r="E319" s="77">
        <v>1</v>
      </c>
      <c r="F319" s="79">
        <f t="shared" si="4"/>
        <v>1524.7619999999999</v>
      </c>
      <c r="J319" s="78">
        <v>12022</v>
      </c>
      <c r="K319" s="78" t="s">
        <v>173</v>
      </c>
      <c r="L319" s="78">
        <v>1524.7619999999999</v>
      </c>
    </row>
    <row r="320" spans="1:12">
      <c r="A320" s="77">
        <v>208073</v>
      </c>
      <c r="B320" s="77">
        <v>12029</v>
      </c>
      <c r="C320" s="77" t="s">
        <v>180</v>
      </c>
      <c r="D320" s="77">
        <v>2</v>
      </c>
      <c r="E320" s="77">
        <v>2</v>
      </c>
      <c r="F320" s="79">
        <f t="shared" si="4"/>
        <v>1464.694</v>
      </c>
      <c r="J320" s="78">
        <v>12029</v>
      </c>
      <c r="K320" s="78" t="s">
        <v>173</v>
      </c>
      <c r="L320" s="78">
        <v>1464.694</v>
      </c>
    </row>
    <row r="321" spans="1:12">
      <c r="A321" s="77">
        <v>51475</v>
      </c>
      <c r="B321" s="77">
        <v>12033</v>
      </c>
      <c r="C321" s="77" t="s">
        <v>180</v>
      </c>
      <c r="D321" s="77">
        <v>2.25</v>
      </c>
      <c r="E321" s="77">
        <v>1</v>
      </c>
      <c r="F321" s="79">
        <f t="shared" si="4"/>
        <v>1188.027</v>
      </c>
      <c r="J321" s="78">
        <v>12033</v>
      </c>
      <c r="K321" s="78" t="s">
        <v>172</v>
      </c>
      <c r="L321" s="78">
        <v>1188.027</v>
      </c>
    </row>
    <row r="322" spans="1:12">
      <c r="A322" s="77">
        <v>93145</v>
      </c>
      <c r="B322" s="77">
        <v>12035</v>
      </c>
      <c r="C322" s="77" t="s">
        <v>180</v>
      </c>
      <c r="D322" s="77">
        <v>2.25</v>
      </c>
      <c r="E322" s="77">
        <v>2</v>
      </c>
      <c r="F322" s="79">
        <f t="shared" si="4"/>
        <v>2003.7159999999999</v>
      </c>
      <c r="J322" s="78">
        <v>12035</v>
      </c>
      <c r="K322" s="78" t="s">
        <v>173</v>
      </c>
      <c r="L322" s="78">
        <v>2003.7159999999999</v>
      </c>
    </row>
    <row r="323" spans="1:12">
      <c r="A323" s="77">
        <v>123155</v>
      </c>
      <c r="B323" s="77">
        <v>12039</v>
      </c>
      <c r="C323" s="77" t="s">
        <v>180</v>
      </c>
      <c r="D323" s="77">
        <v>2</v>
      </c>
      <c r="E323" s="77">
        <v>2</v>
      </c>
      <c r="F323" s="79">
        <f t="shared" ref="F323:F386" si="5">VLOOKUP(B323,$J$2:$L$1405,3,FALSE)</f>
        <v>4956.4930000000004</v>
      </c>
      <c r="J323" s="78">
        <v>12039</v>
      </c>
      <c r="K323" s="78" t="s">
        <v>173</v>
      </c>
      <c r="L323" s="78">
        <v>4956.4930000000004</v>
      </c>
    </row>
    <row r="324" spans="1:12">
      <c r="A324" s="77">
        <v>658760</v>
      </c>
      <c r="B324" s="77">
        <v>12049</v>
      </c>
      <c r="C324" s="77" t="s">
        <v>180</v>
      </c>
      <c r="D324" s="77">
        <v>2.5</v>
      </c>
      <c r="E324" s="77">
        <v>1</v>
      </c>
      <c r="F324" s="79">
        <f t="shared" si="5"/>
        <v>1464.694</v>
      </c>
      <c r="J324" s="78">
        <v>12049</v>
      </c>
      <c r="K324" s="78" t="s">
        <v>173</v>
      </c>
      <c r="L324" s="78">
        <v>1464.694</v>
      </c>
    </row>
    <row r="325" spans="1:12">
      <c r="A325" s="77">
        <v>48038</v>
      </c>
      <c r="B325" s="77">
        <v>12054</v>
      </c>
      <c r="C325" s="77" t="s">
        <v>180</v>
      </c>
      <c r="D325" s="77">
        <v>2.5</v>
      </c>
      <c r="E325" s="77">
        <v>5</v>
      </c>
      <c r="F325" s="79">
        <f t="shared" si="5"/>
        <v>1524.7619999999999</v>
      </c>
      <c r="J325" s="78">
        <v>12054</v>
      </c>
      <c r="K325" s="78" t="s">
        <v>173</v>
      </c>
      <c r="L325" s="78">
        <v>1524.7619999999999</v>
      </c>
    </row>
    <row r="326" spans="1:12">
      <c r="A326" s="77">
        <v>823622</v>
      </c>
      <c r="B326" s="77">
        <v>12060</v>
      </c>
      <c r="C326" s="77" t="s">
        <v>180</v>
      </c>
      <c r="D326" s="77">
        <v>1</v>
      </c>
      <c r="E326" s="77">
        <v>3</v>
      </c>
      <c r="F326" s="79">
        <f t="shared" si="5"/>
        <v>1464.694</v>
      </c>
      <c r="J326" s="78">
        <v>12060</v>
      </c>
      <c r="K326" s="78" t="s">
        <v>173</v>
      </c>
      <c r="L326" s="78">
        <v>1464.694</v>
      </c>
    </row>
    <row r="327" spans="1:12">
      <c r="A327" s="77">
        <v>191619</v>
      </c>
      <c r="B327" s="77">
        <v>12062</v>
      </c>
      <c r="C327" s="77" t="s">
        <v>180</v>
      </c>
      <c r="D327" s="77">
        <v>1.5</v>
      </c>
      <c r="E327" s="77">
        <v>1</v>
      </c>
      <c r="F327" s="79">
        <f t="shared" si="5"/>
        <v>6932.7380000000003</v>
      </c>
      <c r="J327" s="78">
        <v>12062</v>
      </c>
      <c r="K327" s="78" t="s">
        <v>172</v>
      </c>
      <c r="L327" s="78">
        <v>6932.7380000000003</v>
      </c>
    </row>
    <row r="328" spans="1:12">
      <c r="A328" s="77">
        <v>660178</v>
      </c>
      <c r="B328" s="77">
        <v>12063</v>
      </c>
      <c r="C328" s="77" t="s">
        <v>180</v>
      </c>
      <c r="D328" s="77">
        <v>1.5</v>
      </c>
      <c r="E328" s="77">
        <v>2</v>
      </c>
      <c r="F328" s="79">
        <f t="shared" si="5"/>
        <v>1464.694</v>
      </c>
      <c r="J328" s="78">
        <v>12063</v>
      </c>
      <c r="K328" s="78" t="s">
        <v>173</v>
      </c>
      <c r="L328" s="78">
        <v>1464.694</v>
      </c>
    </row>
    <row r="329" spans="1:12">
      <c r="A329" s="77">
        <v>46304</v>
      </c>
      <c r="B329" s="77">
        <v>12064</v>
      </c>
      <c r="C329" s="77" t="s">
        <v>180</v>
      </c>
      <c r="D329" s="77">
        <v>2</v>
      </c>
      <c r="E329" s="77">
        <v>1</v>
      </c>
      <c r="F329" s="79">
        <f t="shared" si="5"/>
        <v>1524.7619999999999</v>
      </c>
      <c r="J329" s="78">
        <v>12064</v>
      </c>
      <c r="K329" s="78" t="s">
        <v>173</v>
      </c>
      <c r="L329" s="78">
        <v>1524.7619999999999</v>
      </c>
    </row>
    <row r="330" spans="1:12">
      <c r="A330" s="77">
        <v>214075</v>
      </c>
      <c r="B330" s="77">
        <v>12086</v>
      </c>
      <c r="C330" s="77" t="s">
        <v>180</v>
      </c>
      <c r="D330" s="77">
        <v>2</v>
      </c>
      <c r="E330" s="77">
        <v>2</v>
      </c>
      <c r="F330" s="79">
        <f t="shared" si="5"/>
        <v>1464.694</v>
      </c>
      <c r="J330" s="78">
        <v>12086</v>
      </c>
      <c r="K330" s="78" t="s">
        <v>173</v>
      </c>
      <c r="L330" s="78">
        <v>1464.694</v>
      </c>
    </row>
    <row r="331" spans="1:12">
      <c r="A331" s="77">
        <v>217050</v>
      </c>
      <c r="B331" s="77">
        <v>12092</v>
      </c>
      <c r="C331" s="77" t="s">
        <v>180</v>
      </c>
      <c r="D331" s="77">
        <v>2.5</v>
      </c>
      <c r="E331" s="77">
        <v>2</v>
      </c>
      <c r="F331" s="79">
        <f t="shared" si="5"/>
        <v>4956.4930000000004</v>
      </c>
      <c r="J331" s="78">
        <v>12092</v>
      </c>
      <c r="K331" s="78" t="s">
        <v>173</v>
      </c>
      <c r="L331" s="78">
        <v>4956.4930000000004</v>
      </c>
    </row>
    <row r="332" spans="1:12">
      <c r="A332" s="77">
        <v>225883</v>
      </c>
      <c r="B332" s="77">
        <v>12101</v>
      </c>
      <c r="C332" s="77" t="s">
        <v>180</v>
      </c>
      <c r="D332" s="77">
        <v>2.5</v>
      </c>
      <c r="E332" s="77">
        <v>2</v>
      </c>
      <c r="F332" s="79">
        <f t="shared" si="5"/>
        <v>4956.4930000000004</v>
      </c>
      <c r="J332" s="78">
        <v>12101</v>
      </c>
      <c r="K332" s="78" t="s">
        <v>173</v>
      </c>
      <c r="L332" s="78">
        <v>4956.4930000000004</v>
      </c>
    </row>
    <row r="333" spans="1:12">
      <c r="A333" s="77">
        <v>155515</v>
      </c>
      <c r="B333" s="77">
        <v>12103</v>
      </c>
      <c r="C333" s="77" t="s">
        <v>180</v>
      </c>
      <c r="D333" s="77">
        <v>5</v>
      </c>
      <c r="E333" s="77">
        <v>1</v>
      </c>
      <c r="F333" s="79">
        <f t="shared" si="5"/>
        <v>4956.4930000000004</v>
      </c>
      <c r="J333" s="78">
        <v>12103</v>
      </c>
      <c r="K333" s="78" t="s">
        <v>173</v>
      </c>
      <c r="L333" s="78">
        <v>4956.4930000000004</v>
      </c>
    </row>
    <row r="334" spans="1:12">
      <c r="A334" s="77">
        <v>54637</v>
      </c>
      <c r="B334" s="77">
        <v>12105</v>
      </c>
      <c r="C334" s="77" t="s">
        <v>180</v>
      </c>
      <c r="D334" s="77">
        <v>2.5</v>
      </c>
      <c r="E334" s="77">
        <v>2</v>
      </c>
      <c r="F334" s="79">
        <f t="shared" si="5"/>
        <v>1188.027</v>
      </c>
      <c r="J334" s="78">
        <v>12105</v>
      </c>
      <c r="K334" s="78" t="s">
        <v>172</v>
      </c>
      <c r="L334" s="78">
        <v>1188.027</v>
      </c>
    </row>
    <row r="335" spans="1:12">
      <c r="A335" s="77">
        <v>113955</v>
      </c>
      <c r="B335" s="77">
        <v>12107</v>
      </c>
      <c r="C335" s="77" t="s">
        <v>180</v>
      </c>
      <c r="D335" s="77">
        <v>2</v>
      </c>
      <c r="E335" s="77">
        <v>1</v>
      </c>
      <c r="F335" s="79">
        <f t="shared" si="5"/>
        <v>4956.4930000000004</v>
      </c>
      <c r="J335" s="78">
        <v>12107</v>
      </c>
      <c r="K335" s="78" t="s">
        <v>173</v>
      </c>
      <c r="L335" s="78">
        <v>4956.4930000000004</v>
      </c>
    </row>
    <row r="336" spans="1:12">
      <c r="A336" s="77">
        <v>65814</v>
      </c>
      <c r="B336" s="77">
        <v>12108</v>
      </c>
      <c r="C336" s="77" t="s">
        <v>180</v>
      </c>
      <c r="D336" s="77">
        <v>1.75</v>
      </c>
      <c r="E336" s="77">
        <v>3</v>
      </c>
      <c r="F336" s="79">
        <f t="shared" si="5"/>
        <v>1524.7619999999999</v>
      </c>
      <c r="J336" s="78">
        <v>12108</v>
      </c>
      <c r="K336" s="78" t="s">
        <v>173</v>
      </c>
      <c r="L336" s="78">
        <v>1524.7619999999999</v>
      </c>
    </row>
    <row r="337" spans="1:12">
      <c r="A337" s="77">
        <v>802994</v>
      </c>
      <c r="B337" s="77">
        <v>12111</v>
      </c>
      <c r="C337" s="77" t="s">
        <v>180</v>
      </c>
      <c r="D337" s="77">
        <v>2.5</v>
      </c>
      <c r="E337" s="77">
        <v>2</v>
      </c>
      <c r="F337" s="79">
        <f t="shared" si="5"/>
        <v>1464.694</v>
      </c>
      <c r="J337" s="78">
        <v>12111</v>
      </c>
      <c r="K337" s="78" t="s">
        <v>173</v>
      </c>
      <c r="L337" s="78">
        <v>1464.694</v>
      </c>
    </row>
    <row r="338" spans="1:12">
      <c r="A338" s="77">
        <v>86521</v>
      </c>
      <c r="B338" s="77">
        <v>12114</v>
      </c>
      <c r="C338" s="77" t="s">
        <v>180</v>
      </c>
      <c r="D338" s="77">
        <v>1</v>
      </c>
      <c r="E338" s="77">
        <v>2</v>
      </c>
      <c r="F338" s="79">
        <f t="shared" si="5"/>
        <v>2003.7159999999999</v>
      </c>
      <c r="J338" s="78">
        <v>12114</v>
      </c>
      <c r="K338" s="78" t="s">
        <v>173</v>
      </c>
      <c r="L338" s="78">
        <v>2003.7159999999999</v>
      </c>
    </row>
    <row r="339" spans="1:12">
      <c r="A339" s="77">
        <v>137738</v>
      </c>
      <c r="B339" s="77">
        <v>12131</v>
      </c>
      <c r="C339" s="77" t="s">
        <v>180</v>
      </c>
      <c r="D339" s="77">
        <v>2.25</v>
      </c>
      <c r="E339" s="77">
        <v>1</v>
      </c>
      <c r="F339" s="79">
        <f t="shared" si="5"/>
        <v>4956.4930000000004</v>
      </c>
      <c r="J339" s="78">
        <v>12131</v>
      </c>
      <c r="K339" s="78" t="s">
        <v>173</v>
      </c>
      <c r="L339" s="78">
        <v>4956.4930000000004</v>
      </c>
    </row>
    <row r="340" spans="1:12">
      <c r="A340" s="77">
        <v>65695</v>
      </c>
      <c r="B340" s="77">
        <v>12142</v>
      </c>
      <c r="C340" s="77" t="s">
        <v>180</v>
      </c>
      <c r="D340" s="77">
        <v>1.75</v>
      </c>
      <c r="E340" s="77">
        <v>1</v>
      </c>
      <c r="F340" s="79">
        <f t="shared" si="5"/>
        <v>1524.7619999999999</v>
      </c>
      <c r="J340" s="78">
        <v>12142</v>
      </c>
      <c r="K340" s="78" t="s">
        <v>173</v>
      </c>
      <c r="L340" s="78">
        <v>1524.7619999999999</v>
      </c>
    </row>
    <row r="341" spans="1:12">
      <c r="A341" s="77">
        <v>206613</v>
      </c>
      <c r="B341" s="77">
        <v>12144</v>
      </c>
      <c r="C341" s="77" t="s">
        <v>180</v>
      </c>
      <c r="D341" s="77">
        <v>1</v>
      </c>
      <c r="E341" s="77">
        <v>2</v>
      </c>
      <c r="F341" s="79">
        <f t="shared" si="5"/>
        <v>6932.7380000000003</v>
      </c>
      <c r="J341" s="78">
        <v>12144</v>
      </c>
      <c r="K341" s="78" t="s">
        <v>172</v>
      </c>
      <c r="L341" s="78">
        <v>6932.7380000000003</v>
      </c>
    </row>
    <row r="342" spans="1:12">
      <c r="A342" s="77">
        <v>108310</v>
      </c>
      <c r="B342" s="77">
        <v>12145</v>
      </c>
      <c r="C342" s="77" t="s">
        <v>180</v>
      </c>
      <c r="D342" s="77">
        <v>1.5</v>
      </c>
      <c r="E342" s="77">
        <v>1</v>
      </c>
      <c r="F342" s="79">
        <f t="shared" si="5"/>
        <v>1524.7619999999999</v>
      </c>
      <c r="J342" s="78">
        <v>12145</v>
      </c>
      <c r="K342" s="78" t="s">
        <v>173</v>
      </c>
      <c r="L342" s="78">
        <v>1524.7619999999999</v>
      </c>
    </row>
    <row r="343" spans="1:12">
      <c r="A343" s="77">
        <v>231292</v>
      </c>
      <c r="B343" s="77">
        <v>12146</v>
      </c>
      <c r="C343" s="77" t="s">
        <v>180</v>
      </c>
      <c r="D343" s="77">
        <v>2.5</v>
      </c>
      <c r="E343" s="77">
        <v>2</v>
      </c>
      <c r="F343" s="79">
        <f t="shared" si="5"/>
        <v>1464.694</v>
      </c>
      <c r="J343" s="78">
        <v>12146</v>
      </c>
      <c r="K343" s="78" t="s">
        <v>173</v>
      </c>
      <c r="L343" s="78">
        <v>1464.694</v>
      </c>
    </row>
    <row r="344" spans="1:12">
      <c r="A344" s="77">
        <v>206732</v>
      </c>
      <c r="B344" s="77">
        <v>12148</v>
      </c>
      <c r="C344" s="77" t="s">
        <v>180</v>
      </c>
      <c r="D344" s="77">
        <v>1</v>
      </c>
      <c r="E344" s="77">
        <v>1</v>
      </c>
      <c r="F344" s="79">
        <f t="shared" si="5"/>
        <v>6932.7380000000003</v>
      </c>
      <c r="J344" s="78">
        <v>12148</v>
      </c>
      <c r="K344" s="78" t="s">
        <v>172</v>
      </c>
      <c r="L344" s="78">
        <v>6932.7380000000003</v>
      </c>
    </row>
    <row r="345" spans="1:12">
      <c r="A345" s="77">
        <v>31577</v>
      </c>
      <c r="B345" s="77">
        <v>12153</v>
      </c>
      <c r="C345" s="77" t="s">
        <v>180</v>
      </c>
      <c r="D345" s="77">
        <v>1.5</v>
      </c>
      <c r="E345" s="77">
        <v>2</v>
      </c>
      <c r="F345" s="79">
        <f t="shared" si="5"/>
        <v>1524.7619999999999</v>
      </c>
      <c r="J345" s="78">
        <v>12153</v>
      </c>
      <c r="K345" s="78" t="s">
        <v>173</v>
      </c>
      <c r="L345" s="78">
        <v>1524.7619999999999</v>
      </c>
    </row>
    <row r="346" spans="1:12">
      <c r="A346" s="77">
        <v>83477</v>
      </c>
      <c r="B346" s="77">
        <v>12163</v>
      </c>
      <c r="C346" s="77" t="s">
        <v>180</v>
      </c>
      <c r="D346" s="77">
        <v>2</v>
      </c>
      <c r="E346" s="77">
        <v>1</v>
      </c>
      <c r="F346" s="79">
        <f t="shared" si="5"/>
        <v>1524.7619999999999</v>
      </c>
      <c r="J346" s="78">
        <v>12163</v>
      </c>
      <c r="K346" s="78" t="s">
        <v>173</v>
      </c>
      <c r="L346" s="78">
        <v>1524.7619999999999</v>
      </c>
    </row>
    <row r="347" spans="1:12">
      <c r="A347" s="77">
        <v>41842</v>
      </c>
      <c r="B347" s="77">
        <v>12169</v>
      </c>
      <c r="C347" s="77" t="s">
        <v>180</v>
      </c>
      <c r="D347" s="77">
        <v>2.25</v>
      </c>
      <c r="E347" s="77">
        <v>2</v>
      </c>
      <c r="F347" s="79">
        <f t="shared" si="5"/>
        <v>1524.7619999999999</v>
      </c>
      <c r="J347" s="78">
        <v>12169</v>
      </c>
      <c r="K347" s="78" t="s">
        <v>173</v>
      </c>
      <c r="L347" s="78">
        <v>1524.7619999999999</v>
      </c>
    </row>
    <row r="348" spans="1:12">
      <c r="A348" s="77">
        <v>104198</v>
      </c>
      <c r="B348" s="77">
        <v>12176</v>
      </c>
      <c r="C348" s="77" t="s">
        <v>180</v>
      </c>
      <c r="D348" s="77">
        <v>1.5</v>
      </c>
      <c r="E348" s="77">
        <v>1</v>
      </c>
      <c r="F348" s="79">
        <f t="shared" si="5"/>
        <v>1524.7619999999999</v>
      </c>
      <c r="J348" s="78">
        <v>12176</v>
      </c>
      <c r="K348" s="78" t="s">
        <v>173</v>
      </c>
      <c r="L348" s="78">
        <v>1524.7619999999999</v>
      </c>
    </row>
    <row r="349" spans="1:12">
      <c r="A349" s="77">
        <v>217174</v>
      </c>
      <c r="B349" s="77">
        <v>12183</v>
      </c>
      <c r="C349" s="77" t="s">
        <v>180</v>
      </c>
      <c r="D349" s="77">
        <v>2.5</v>
      </c>
      <c r="E349" s="77">
        <v>1</v>
      </c>
      <c r="F349" s="79">
        <f t="shared" si="5"/>
        <v>4956.4930000000004</v>
      </c>
      <c r="J349" s="78">
        <v>12183</v>
      </c>
      <c r="K349" s="78" t="s">
        <v>173</v>
      </c>
      <c r="L349" s="78">
        <v>4956.4930000000004</v>
      </c>
    </row>
    <row r="350" spans="1:12">
      <c r="A350" s="77">
        <v>139887</v>
      </c>
      <c r="B350" s="77">
        <v>12186</v>
      </c>
      <c r="C350" s="77" t="s">
        <v>180</v>
      </c>
      <c r="D350" s="77">
        <v>2</v>
      </c>
      <c r="E350" s="77">
        <v>2</v>
      </c>
      <c r="F350" s="79">
        <f t="shared" si="5"/>
        <v>4956.4930000000004</v>
      </c>
      <c r="J350" s="78">
        <v>12186</v>
      </c>
      <c r="K350" s="78" t="s">
        <v>173</v>
      </c>
      <c r="L350" s="78">
        <v>4956.4930000000004</v>
      </c>
    </row>
    <row r="351" spans="1:12">
      <c r="A351" s="77">
        <v>726949</v>
      </c>
      <c r="B351" s="77">
        <v>12190</v>
      </c>
      <c r="C351" s="77" t="s">
        <v>183</v>
      </c>
      <c r="D351" s="77">
        <v>2.5</v>
      </c>
      <c r="E351" s="77">
        <v>3</v>
      </c>
      <c r="F351" s="79">
        <f t="shared" si="5"/>
        <v>4956.4930000000004</v>
      </c>
      <c r="J351" s="78">
        <v>12190</v>
      </c>
      <c r="K351" s="78" t="s">
        <v>173</v>
      </c>
      <c r="L351" s="78">
        <v>4956.4930000000004</v>
      </c>
    </row>
    <row r="352" spans="1:12">
      <c r="A352" s="77">
        <v>47722</v>
      </c>
      <c r="B352" s="77">
        <v>12197</v>
      </c>
      <c r="C352" s="77" t="s">
        <v>180</v>
      </c>
      <c r="D352" s="77">
        <v>2</v>
      </c>
      <c r="E352" s="77">
        <v>1</v>
      </c>
      <c r="F352" s="79">
        <f t="shared" si="5"/>
        <v>1524.7619999999999</v>
      </c>
      <c r="J352" s="78">
        <v>12197</v>
      </c>
      <c r="K352" s="78" t="s">
        <v>173</v>
      </c>
      <c r="L352" s="78">
        <v>1524.7619999999999</v>
      </c>
    </row>
    <row r="353" spans="1:12">
      <c r="A353" s="77">
        <v>92520</v>
      </c>
      <c r="B353" s="77">
        <v>12199</v>
      </c>
      <c r="C353" s="77" t="s">
        <v>180</v>
      </c>
      <c r="D353" s="77">
        <v>3.75</v>
      </c>
      <c r="E353" s="77">
        <v>1</v>
      </c>
      <c r="F353" s="79">
        <f t="shared" si="5"/>
        <v>2003.7159999999999</v>
      </c>
      <c r="J353" s="78">
        <v>12199</v>
      </c>
      <c r="K353" s="78" t="s">
        <v>173</v>
      </c>
      <c r="L353" s="78">
        <v>2003.7159999999999</v>
      </c>
    </row>
    <row r="354" spans="1:12">
      <c r="A354" s="77">
        <v>230176</v>
      </c>
      <c r="B354" s="77">
        <v>12203</v>
      </c>
      <c r="C354" s="77" t="s">
        <v>180</v>
      </c>
      <c r="D354" s="77">
        <v>2</v>
      </c>
      <c r="E354" s="77">
        <v>1</v>
      </c>
      <c r="F354" s="79">
        <f t="shared" si="5"/>
        <v>1524.7619999999999</v>
      </c>
      <c r="J354" s="78">
        <v>12203</v>
      </c>
      <c r="K354" s="78" t="s">
        <v>173</v>
      </c>
      <c r="L354" s="78">
        <v>1524.7619999999999</v>
      </c>
    </row>
    <row r="355" spans="1:12">
      <c r="A355" s="77">
        <v>658878</v>
      </c>
      <c r="B355" s="77">
        <v>12207</v>
      </c>
      <c r="C355" s="77" t="s">
        <v>180</v>
      </c>
      <c r="D355" s="77">
        <v>1.5</v>
      </c>
      <c r="E355" s="77">
        <v>1</v>
      </c>
      <c r="F355" s="79">
        <f t="shared" si="5"/>
        <v>4956.4930000000004</v>
      </c>
      <c r="J355" s="78">
        <v>12207</v>
      </c>
      <c r="K355" s="78" t="s">
        <v>173</v>
      </c>
      <c r="L355" s="78">
        <v>4956.4930000000004</v>
      </c>
    </row>
    <row r="356" spans="1:12">
      <c r="A356" s="77">
        <v>199742</v>
      </c>
      <c r="B356" s="77">
        <v>12213</v>
      </c>
      <c r="C356" s="77" t="s">
        <v>180</v>
      </c>
      <c r="D356" s="77">
        <v>2</v>
      </c>
      <c r="E356" s="77">
        <v>1</v>
      </c>
      <c r="F356" s="79">
        <f t="shared" si="5"/>
        <v>1464.694</v>
      </c>
      <c r="J356" s="78">
        <v>12213</v>
      </c>
      <c r="K356" s="78" t="s">
        <v>173</v>
      </c>
      <c r="L356" s="78">
        <v>1464.694</v>
      </c>
    </row>
    <row r="357" spans="1:12">
      <c r="A357" s="77">
        <v>118358</v>
      </c>
      <c r="B357" s="77">
        <v>12214</v>
      </c>
      <c r="C357" s="77" t="s">
        <v>180</v>
      </c>
      <c r="D357" s="77">
        <v>2.5</v>
      </c>
      <c r="E357" s="77">
        <v>2</v>
      </c>
      <c r="F357" s="79">
        <f t="shared" si="5"/>
        <v>4956.4930000000004</v>
      </c>
      <c r="J357" s="78">
        <v>12214</v>
      </c>
      <c r="K357" s="78" t="s">
        <v>173</v>
      </c>
      <c r="L357" s="78">
        <v>4956.4930000000004</v>
      </c>
    </row>
    <row r="358" spans="1:12">
      <c r="A358" s="77">
        <v>78580</v>
      </c>
      <c r="B358" s="77">
        <v>12215</v>
      </c>
      <c r="C358" s="77" t="s">
        <v>180</v>
      </c>
      <c r="D358" s="77">
        <v>1.5</v>
      </c>
      <c r="E358" s="77">
        <v>1</v>
      </c>
      <c r="F358" s="79">
        <f t="shared" si="5"/>
        <v>2003.7159999999999</v>
      </c>
      <c r="J358" s="78">
        <v>12215</v>
      </c>
      <c r="K358" s="78" t="s">
        <v>173</v>
      </c>
      <c r="L358" s="78">
        <v>2003.7159999999999</v>
      </c>
    </row>
    <row r="359" spans="1:12">
      <c r="A359" s="77">
        <v>671688</v>
      </c>
      <c r="B359" s="77">
        <v>12226</v>
      </c>
      <c r="C359" s="77" t="s">
        <v>180</v>
      </c>
      <c r="D359" s="77">
        <v>2.5</v>
      </c>
      <c r="E359" s="77">
        <v>1</v>
      </c>
      <c r="F359" s="79">
        <f t="shared" si="5"/>
        <v>6932.7380000000003</v>
      </c>
      <c r="J359" s="78">
        <v>12226</v>
      </c>
      <c r="K359" s="78" t="s">
        <v>172</v>
      </c>
      <c r="L359" s="78">
        <v>6932.7380000000003</v>
      </c>
    </row>
    <row r="360" spans="1:12">
      <c r="A360" s="77">
        <v>32735</v>
      </c>
      <c r="B360" s="77">
        <v>12229</v>
      </c>
      <c r="C360" s="77" t="s">
        <v>180</v>
      </c>
      <c r="D360" s="77">
        <v>1.75</v>
      </c>
      <c r="E360" s="77">
        <v>2</v>
      </c>
      <c r="F360" s="79">
        <f t="shared" si="5"/>
        <v>1524.7619999999999</v>
      </c>
      <c r="J360" s="78">
        <v>12229</v>
      </c>
      <c r="K360" s="78" t="s">
        <v>173</v>
      </c>
      <c r="L360" s="78">
        <v>1524.7619999999999</v>
      </c>
    </row>
    <row r="361" spans="1:12">
      <c r="A361" s="77">
        <v>198688</v>
      </c>
      <c r="B361" s="77">
        <v>12230</v>
      </c>
      <c r="C361" s="77" t="s">
        <v>180</v>
      </c>
      <c r="D361" s="77">
        <v>2</v>
      </c>
      <c r="E361" s="77">
        <v>3</v>
      </c>
      <c r="F361" s="79">
        <f t="shared" si="5"/>
        <v>6932.7380000000003</v>
      </c>
      <c r="J361" s="78">
        <v>12230</v>
      </c>
      <c r="K361" s="78" t="s">
        <v>172</v>
      </c>
      <c r="L361" s="78">
        <v>6932.7380000000003</v>
      </c>
    </row>
    <row r="362" spans="1:12">
      <c r="A362" s="77">
        <v>34780</v>
      </c>
      <c r="B362" s="77">
        <v>12232</v>
      </c>
      <c r="C362" s="77" t="s">
        <v>180</v>
      </c>
      <c r="D362" s="77">
        <v>2</v>
      </c>
      <c r="E362" s="77">
        <v>4</v>
      </c>
      <c r="F362" s="79">
        <f t="shared" si="5"/>
        <v>1188.027</v>
      </c>
      <c r="J362" s="78">
        <v>12232</v>
      </c>
      <c r="K362" s="78" t="s">
        <v>172</v>
      </c>
      <c r="L362" s="78">
        <v>1188.027</v>
      </c>
    </row>
    <row r="363" spans="1:12">
      <c r="A363" s="77">
        <v>39591</v>
      </c>
      <c r="B363" s="77">
        <v>12242</v>
      </c>
      <c r="C363" s="77" t="s">
        <v>180</v>
      </c>
      <c r="D363" s="77">
        <v>2</v>
      </c>
      <c r="E363" s="77">
        <v>2</v>
      </c>
      <c r="F363" s="79">
        <f t="shared" si="5"/>
        <v>1524.7619999999999</v>
      </c>
      <c r="J363" s="78">
        <v>12242</v>
      </c>
      <c r="K363" s="78" t="s">
        <v>173</v>
      </c>
      <c r="L363" s="78">
        <v>1524.7619999999999</v>
      </c>
    </row>
    <row r="364" spans="1:12">
      <c r="A364" s="77">
        <v>108405</v>
      </c>
      <c r="B364" s="77">
        <v>12247</v>
      </c>
      <c r="C364" s="77" t="s">
        <v>180</v>
      </c>
      <c r="D364" s="77">
        <v>3.5</v>
      </c>
      <c r="E364" s="77">
        <v>2</v>
      </c>
      <c r="F364" s="79">
        <f t="shared" si="5"/>
        <v>2003.7159999999999</v>
      </c>
      <c r="J364" s="78">
        <v>12247</v>
      </c>
      <c r="K364" s="78" t="s">
        <v>173</v>
      </c>
      <c r="L364" s="78">
        <v>2003.7159999999999</v>
      </c>
    </row>
    <row r="365" spans="1:12">
      <c r="A365" s="77">
        <v>83006</v>
      </c>
      <c r="B365" s="77">
        <v>12255</v>
      </c>
      <c r="C365" s="77" t="s">
        <v>180</v>
      </c>
      <c r="D365" s="77">
        <v>3.75</v>
      </c>
      <c r="E365" s="77">
        <v>2</v>
      </c>
      <c r="F365" s="79">
        <f t="shared" si="5"/>
        <v>1188.027</v>
      </c>
      <c r="J365" s="78">
        <v>12255</v>
      </c>
      <c r="K365" s="78" t="s">
        <v>172</v>
      </c>
      <c r="L365" s="78">
        <v>1188.027</v>
      </c>
    </row>
    <row r="366" spans="1:12">
      <c r="A366" s="77">
        <v>47094</v>
      </c>
      <c r="B366" s="77">
        <v>12263</v>
      </c>
      <c r="C366" s="77" t="s">
        <v>180</v>
      </c>
      <c r="D366" s="77">
        <v>1.75</v>
      </c>
      <c r="E366" s="77">
        <v>1</v>
      </c>
      <c r="F366" s="79">
        <f t="shared" si="5"/>
        <v>1524.7619999999999</v>
      </c>
      <c r="J366" s="78">
        <v>12263</v>
      </c>
      <c r="K366" s="78" t="s">
        <v>173</v>
      </c>
      <c r="L366" s="78">
        <v>1524.7619999999999</v>
      </c>
    </row>
    <row r="367" spans="1:12">
      <c r="A367" s="77">
        <v>208510</v>
      </c>
      <c r="B367" s="77">
        <v>12264</v>
      </c>
      <c r="C367" s="77" t="s">
        <v>180</v>
      </c>
      <c r="D367" s="77">
        <v>2.5</v>
      </c>
      <c r="E367" s="77">
        <v>2</v>
      </c>
      <c r="F367" s="79">
        <f t="shared" si="5"/>
        <v>1464.694</v>
      </c>
      <c r="J367" s="78">
        <v>12264</v>
      </c>
      <c r="K367" s="78" t="s">
        <v>173</v>
      </c>
      <c r="L367" s="78">
        <v>1464.694</v>
      </c>
    </row>
    <row r="368" spans="1:12">
      <c r="A368" s="77">
        <v>96677</v>
      </c>
      <c r="B368" s="77">
        <v>12266</v>
      </c>
      <c r="C368" s="77" t="s">
        <v>180</v>
      </c>
      <c r="D368" s="77">
        <v>1</v>
      </c>
      <c r="E368" s="77">
        <v>2</v>
      </c>
      <c r="F368" s="79">
        <f t="shared" si="5"/>
        <v>4956.4930000000004</v>
      </c>
      <c r="J368" s="78">
        <v>12266</v>
      </c>
      <c r="K368" s="78" t="s">
        <v>173</v>
      </c>
      <c r="L368" s="78">
        <v>4956.4930000000004</v>
      </c>
    </row>
    <row r="369" spans="1:12">
      <c r="A369" s="77">
        <v>28882</v>
      </c>
      <c r="B369" s="77">
        <v>12270</v>
      </c>
      <c r="C369" s="77" t="s">
        <v>180</v>
      </c>
      <c r="D369" s="77">
        <v>1.5</v>
      </c>
      <c r="E369" s="77">
        <v>2</v>
      </c>
      <c r="F369" s="79">
        <f t="shared" si="5"/>
        <v>1150.8789999999999</v>
      </c>
      <c r="J369" s="78">
        <v>12270</v>
      </c>
      <c r="K369" s="78" t="s">
        <v>173</v>
      </c>
      <c r="L369" s="78">
        <v>1150.8789999999999</v>
      </c>
    </row>
    <row r="370" spans="1:12">
      <c r="A370" s="77">
        <v>61143</v>
      </c>
      <c r="B370" s="77">
        <v>12271</v>
      </c>
      <c r="C370" s="77" t="s">
        <v>180</v>
      </c>
      <c r="D370" s="77">
        <v>1.5</v>
      </c>
      <c r="E370" s="77">
        <v>1</v>
      </c>
      <c r="F370" s="79">
        <f t="shared" si="5"/>
        <v>1524.7619999999999</v>
      </c>
      <c r="J370" s="78">
        <v>12271</v>
      </c>
      <c r="K370" s="78" t="s">
        <v>173</v>
      </c>
      <c r="L370" s="78">
        <v>1524.7619999999999</v>
      </c>
    </row>
    <row r="371" spans="1:12">
      <c r="A371" s="77">
        <v>677187</v>
      </c>
      <c r="B371" s="77">
        <v>12274</v>
      </c>
      <c r="C371" s="77" t="s">
        <v>180</v>
      </c>
      <c r="D371" s="77">
        <v>2.5</v>
      </c>
      <c r="E371" s="77">
        <v>1</v>
      </c>
      <c r="F371" s="79">
        <f t="shared" si="5"/>
        <v>4956.4930000000004</v>
      </c>
      <c r="J371" s="78">
        <v>12274</v>
      </c>
      <c r="K371" s="78" t="s">
        <v>173</v>
      </c>
      <c r="L371" s="78">
        <v>4956.4930000000004</v>
      </c>
    </row>
    <row r="372" spans="1:12">
      <c r="A372" s="77">
        <v>83238</v>
      </c>
      <c r="B372" s="77">
        <v>12278</v>
      </c>
      <c r="C372" s="77" t="s">
        <v>180</v>
      </c>
      <c r="D372" s="77">
        <v>2.75</v>
      </c>
      <c r="E372" s="77">
        <v>2</v>
      </c>
      <c r="F372" s="79">
        <f t="shared" si="5"/>
        <v>2003.7159999999999</v>
      </c>
      <c r="J372" s="78">
        <v>12278</v>
      </c>
      <c r="K372" s="78" t="s">
        <v>173</v>
      </c>
      <c r="L372" s="78">
        <v>2003.7159999999999</v>
      </c>
    </row>
    <row r="373" spans="1:12">
      <c r="A373" s="77">
        <v>201387</v>
      </c>
      <c r="B373" s="77">
        <v>12295</v>
      </c>
      <c r="C373" s="77" t="s">
        <v>180</v>
      </c>
      <c r="D373" s="77">
        <v>0.75</v>
      </c>
      <c r="E373" s="77">
        <v>2</v>
      </c>
      <c r="F373" s="79">
        <f t="shared" si="5"/>
        <v>6932.7380000000003</v>
      </c>
      <c r="J373" s="78">
        <v>12295</v>
      </c>
      <c r="K373" s="78" t="s">
        <v>172</v>
      </c>
      <c r="L373" s="78">
        <v>6932.7380000000003</v>
      </c>
    </row>
    <row r="374" spans="1:12">
      <c r="A374" s="77">
        <v>210199</v>
      </c>
      <c r="B374" s="77">
        <v>12303</v>
      </c>
      <c r="C374" s="77" t="s">
        <v>180</v>
      </c>
      <c r="D374" s="77">
        <v>2.5</v>
      </c>
      <c r="E374" s="77">
        <v>2</v>
      </c>
      <c r="F374" s="79">
        <f t="shared" si="5"/>
        <v>1464.694</v>
      </c>
      <c r="J374" s="78">
        <v>12303</v>
      </c>
      <c r="K374" s="78" t="s">
        <v>173</v>
      </c>
      <c r="L374" s="78">
        <v>1464.694</v>
      </c>
    </row>
    <row r="375" spans="1:12">
      <c r="A375" s="77">
        <v>718382</v>
      </c>
      <c r="B375" s="77">
        <v>12305</v>
      </c>
      <c r="C375" s="77" t="s">
        <v>180</v>
      </c>
      <c r="D375" s="77">
        <v>2</v>
      </c>
      <c r="E375" s="77">
        <v>2</v>
      </c>
      <c r="F375" s="79">
        <f t="shared" si="5"/>
        <v>4956.4930000000004</v>
      </c>
      <c r="J375" s="78">
        <v>12305</v>
      </c>
      <c r="K375" s="78" t="s">
        <v>173</v>
      </c>
      <c r="L375" s="78">
        <v>4956.4930000000004</v>
      </c>
    </row>
    <row r="376" spans="1:12">
      <c r="A376" s="77">
        <v>35973</v>
      </c>
      <c r="B376" s="77">
        <v>12307</v>
      </c>
      <c r="C376" s="77" t="s">
        <v>180</v>
      </c>
      <c r="D376" s="77">
        <v>3</v>
      </c>
      <c r="E376" s="77">
        <v>3</v>
      </c>
      <c r="F376" s="79">
        <f t="shared" si="5"/>
        <v>1524.7619999999999</v>
      </c>
      <c r="J376" s="78">
        <v>12307</v>
      </c>
      <c r="K376" s="78" t="s">
        <v>173</v>
      </c>
      <c r="L376" s="78">
        <v>1524.7619999999999</v>
      </c>
    </row>
    <row r="377" spans="1:12">
      <c r="A377" s="77">
        <v>122055</v>
      </c>
      <c r="B377" s="77">
        <v>12315</v>
      </c>
      <c r="C377" s="77" t="s">
        <v>180</v>
      </c>
      <c r="D377" s="77">
        <v>1.25</v>
      </c>
      <c r="E377" s="77">
        <v>2</v>
      </c>
      <c r="F377" s="79">
        <f t="shared" si="5"/>
        <v>2003.7159999999999</v>
      </c>
      <c r="J377" s="78">
        <v>12315</v>
      </c>
      <c r="K377" s="78" t="s">
        <v>173</v>
      </c>
      <c r="L377" s="78">
        <v>2003.7159999999999</v>
      </c>
    </row>
    <row r="378" spans="1:12">
      <c r="A378" s="77">
        <v>79218</v>
      </c>
      <c r="B378" s="77">
        <v>12320</v>
      </c>
      <c r="C378" s="77" t="s">
        <v>180</v>
      </c>
      <c r="D378" s="77">
        <v>3</v>
      </c>
      <c r="E378" s="77">
        <v>3</v>
      </c>
      <c r="F378" s="79">
        <f t="shared" si="5"/>
        <v>2003.7159999999999</v>
      </c>
      <c r="J378" s="78">
        <v>12320</v>
      </c>
      <c r="K378" s="78" t="s">
        <v>173</v>
      </c>
      <c r="L378" s="78">
        <v>2003.7159999999999</v>
      </c>
    </row>
    <row r="379" spans="1:12">
      <c r="A379" s="77">
        <v>39714</v>
      </c>
      <c r="B379" s="77">
        <v>12321</v>
      </c>
      <c r="C379" s="77" t="s">
        <v>180</v>
      </c>
      <c r="D379" s="77">
        <v>1.5</v>
      </c>
      <c r="E379" s="77">
        <v>2</v>
      </c>
      <c r="F379" s="79">
        <f t="shared" si="5"/>
        <v>1524.7619999999999</v>
      </c>
      <c r="J379" s="78">
        <v>12321</v>
      </c>
      <c r="K379" s="78" t="s">
        <v>173</v>
      </c>
      <c r="L379" s="78">
        <v>1524.7619999999999</v>
      </c>
    </row>
    <row r="380" spans="1:12">
      <c r="A380" s="77">
        <v>84998</v>
      </c>
      <c r="B380" s="77">
        <v>12339</v>
      </c>
      <c r="C380" s="77" t="s">
        <v>180</v>
      </c>
      <c r="D380" s="77">
        <v>1.75</v>
      </c>
      <c r="E380" s="77">
        <v>3</v>
      </c>
      <c r="F380" s="79">
        <f t="shared" si="5"/>
        <v>2003.7159999999999</v>
      </c>
      <c r="J380" s="78">
        <v>12339</v>
      </c>
      <c r="K380" s="78" t="s">
        <v>173</v>
      </c>
      <c r="L380" s="78">
        <v>2003.7159999999999</v>
      </c>
    </row>
    <row r="381" spans="1:12">
      <c r="A381" s="77">
        <v>223513</v>
      </c>
      <c r="B381" s="77">
        <v>12341</v>
      </c>
      <c r="C381" s="77" t="s">
        <v>180</v>
      </c>
      <c r="D381" s="77">
        <v>2.5</v>
      </c>
      <c r="E381" s="77">
        <v>1</v>
      </c>
      <c r="F381" s="79">
        <f t="shared" si="5"/>
        <v>1464.694</v>
      </c>
      <c r="J381" s="78">
        <v>12341</v>
      </c>
      <c r="K381" s="78" t="s">
        <v>173</v>
      </c>
      <c r="L381" s="78">
        <v>1464.694</v>
      </c>
    </row>
    <row r="382" spans="1:12">
      <c r="A382" s="77">
        <v>80445</v>
      </c>
      <c r="B382" s="77">
        <v>12348</v>
      </c>
      <c r="C382" s="77" t="s">
        <v>180</v>
      </c>
      <c r="D382" s="77">
        <v>2</v>
      </c>
      <c r="E382" s="77">
        <v>3</v>
      </c>
      <c r="F382" s="79">
        <f t="shared" si="5"/>
        <v>1524.7619999999999</v>
      </c>
      <c r="J382" s="78">
        <v>12348</v>
      </c>
      <c r="K382" s="78" t="s">
        <v>173</v>
      </c>
      <c r="L382" s="78">
        <v>1524.7619999999999</v>
      </c>
    </row>
    <row r="383" spans="1:12">
      <c r="A383" s="77">
        <v>40849</v>
      </c>
      <c r="B383" s="77">
        <v>12358</v>
      </c>
      <c r="C383" s="77" t="s">
        <v>180</v>
      </c>
      <c r="D383" s="77">
        <v>2.5</v>
      </c>
      <c r="E383" s="77">
        <v>3</v>
      </c>
      <c r="F383" s="79">
        <f t="shared" si="5"/>
        <v>1524.7619999999999</v>
      </c>
      <c r="J383" s="78">
        <v>12358</v>
      </c>
      <c r="K383" s="78" t="s">
        <v>173</v>
      </c>
      <c r="L383" s="78">
        <v>1524.7619999999999</v>
      </c>
    </row>
    <row r="384" spans="1:12">
      <c r="A384" s="77">
        <v>190213</v>
      </c>
      <c r="B384" s="77">
        <v>12370</v>
      </c>
      <c r="C384" s="77" t="s">
        <v>180</v>
      </c>
      <c r="D384" s="77">
        <v>2.4</v>
      </c>
      <c r="E384" s="77">
        <v>3</v>
      </c>
      <c r="F384" s="79">
        <f t="shared" si="5"/>
        <v>6932.7380000000003</v>
      </c>
      <c r="J384" s="78">
        <v>12370</v>
      </c>
      <c r="K384" s="78" t="s">
        <v>172</v>
      </c>
      <c r="L384" s="78">
        <v>6932.7380000000003</v>
      </c>
    </row>
    <row r="385" spans="1:12">
      <c r="A385" s="77">
        <v>663080</v>
      </c>
      <c r="B385" s="77">
        <v>12372</v>
      </c>
      <c r="C385" s="77" t="s">
        <v>180</v>
      </c>
      <c r="D385" s="77">
        <v>2</v>
      </c>
      <c r="E385" s="77">
        <v>1</v>
      </c>
      <c r="F385" s="79">
        <f t="shared" si="5"/>
        <v>4956.4930000000004</v>
      </c>
      <c r="J385" s="78">
        <v>12372</v>
      </c>
      <c r="K385" s="78" t="s">
        <v>173</v>
      </c>
      <c r="L385" s="78">
        <v>4956.4930000000004</v>
      </c>
    </row>
    <row r="386" spans="1:12">
      <c r="A386" s="77">
        <v>36873</v>
      </c>
      <c r="B386" s="77">
        <v>12376</v>
      </c>
      <c r="C386" s="77" t="s">
        <v>180</v>
      </c>
      <c r="D386" s="77">
        <v>1.5</v>
      </c>
      <c r="E386" s="77">
        <v>1</v>
      </c>
      <c r="F386" s="79">
        <f t="shared" si="5"/>
        <v>1188.027</v>
      </c>
      <c r="J386" s="78">
        <v>12376</v>
      </c>
      <c r="K386" s="78" t="s">
        <v>172</v>
      </c>
      <c r="L386" s="78">
        <v>1188.027</v>
      </c>
    </row>
    <row r="387" spans="1:12">
      <c r="A387" s="77">
        <v>125315</v>
      </c>
      <c r="B387" s="77">
        <v>12377</v>
      </c>
      <c r="C387" s="77" t="s">
        <v>180</v>
      </c>
      <c r="D387" s="77">
        <v>1.8</v>
      </c>
      <c r="E387" s="77">
        <v>2</v>
      </c>
      <c r="F387" s="79">
        <f t="shared" ref="F387:F450" si="6">VLOOKUP(B387,$J$2:$L$1405,3,FALSE)</f>
        <v>6932.7380000000003</v>
      </c>
      <c r="J387" s="78">
        <v>12377</v>
      </c>
      <c r="K387" s="78" t="s">
        <v>172</v>
      </c>
      <c r="L387" s="78">
        <v>6932.7380000000003</v>
      </c>
    </row>
    <row r="388" spans="1:12">
      <c r="A388" s="77">
        <v>47406</v>
      </c>
      <c r="B388" s="77">
        <v>12398</v>
      </c>
      <c r="C388" s="77" t="s">
        <v>180</v>
      </c>
      <c r="E388" s="77">
        <v>1</v>
      </c>
      <c r="F388" s="79">
        <f t="shared" si="6"/>
        <v>1524.7619999999999</v>
      </c>
      <c r="J388" s="78">
        <v>12398</v>
      </c>
      <c r="K388" s="78" t="s">
        <v>173</v>
      </c>
      <c r="L388" s="78">
        <v>1524.7619999999999</v>
      </c>
    </row>
    <row r="389" spans="1:12">
      <c r="A389" s="77">
        <v>59947</v>
      </c>
      <c r="B389" s="77">
        <v>12399</v>
      </c>
      <c r="C389" s="77" t="s">
        <v>180</v>
      </c>
      <c r="D389" s="77">
        <v>2.5</v>
      </c>
      <c r="E389" s="77">
        <v>1</v>
      </c>
      <c r="F389" s="79">
        <f t="shared" si="6"/>
        <v>1524.7619999999999</v>
      </c>
      <c r="J389" s="78">
        <v>12399</v>
      </c>
      <c r="K389" s="78" t="s">
        <v>173</v>
      </c>
      <c r="L389" s="78">
        <v>1524.7619999999999</v>
      </c>
    </row>
    <row r="390" spans="1:12">
      <c r="A390" s="77">
        <v>69133</v>
      </c>
      <c r="B390" s="77">
        <v>12404</v>
      </c>
      <c r="C390" s="77" t="s">
        <v>180</v>
      </c>
      <c r="D390" s="77">
        <v>2</v>
      </c>
      <c r="E390" s="77">
        <v>2</v>
      </c>
      <c r="F390" s="79">
        <f t="shared" si="6"/>
        <v>2003.7159999999999</v>
      </c>
      <c r="J390" s="78">
        <v>12404</v>
      </c>
      <c r="K390" s="78" t="s">
        <v>173</v>
      </c>
      <c r="L390" s="78">
        <v>2003.7159999999999</v>
      </c>
    </row>
    <row r="391" spans="1:12">
      <c r="A391" s="77">
        <v>28230</v>
      </c>
      <c r="B391" s="77">
        <v>12407</v>
      </c>
      <c r="C391" s="77" t="s">
        <v>180</v>
      </c>
      <c r="D391" s="77">
        <v>4</v>
      </c>
      <c r="E391" s="77">
        <v>2</v>
      </c>
      <c r="F391" s="79">
        <f t="shared" si="6"/>
        <v>1150.8789999999999</v>
      </c>
      <c r="J391" s="78">
        <v>12407</v>
      </c>
      <c r="K391" s="78" t="s">
        <v>173</v>
      </c>
      <c r="L391" s="78">
        <v>1150.8789999999999</v>
      </c>
    </row>
    <row r="392" spans="1:12">
      <c r="A392" s="77">
        <v>135175</v>
      </c>
      <c r="B392" s="77">
        <v>12408</v>
      </c>
      <c r="C392" s="77" t="s">
        <v>180</v>
      </c>
      <c r="D392" s="77">
        <v>2</v>
      </c>
      <c r="E392" s="77">
        <v>2</v>
      </c>
      <c r="F392" s="79">
        <f t="shared" si="6"/>
        <v>4956.4930000000004</v>
      </c>
      <c r="J392" s="78">
        <v>12408</v>
      </c>
      <c r="K392" s="78" t="s">
        <v>173</v>
      </c>
      <c r="L392" s="78">
        <v>4956.4930000000004</v>
      </c>
    </row>
    <row r="393" spans="1:12">
      <c r="A393" s="77">
        <v>96780</v>
      </c>
      <c r="B393" s="77">
        <v>12414</v>
      </c>
      <c r="C393" s="77" t="s">
        <v>180</v>
      </c>
      <c r="D393" s="77">
        <v>2.5</v>
      </c>
      <c r="E393" s="77">
        <v>1</v>
      </c>
      <c r="F393" s="79">
        <f t="shared" si="6"/>
        <v>1524.7619999999999</v>
      </c>
      <c r="J393" s="78">
        <v>12414</v>
      </c>
      <c r="K393" s="78" t="s">
        <v>173</v>
      </c>
      <c r="L393" s="78">
        <v>1524.7619999999999</v>
      </c>
    </row>
    <row r="394" spans="1:12">
      <c r="A394" s="77">
        <v>32030</v>
      </c>
      <c r="B394" s="77">
        <v>12427</v>
      </c>
      <c r="C394" s="77" t="s">
        <v>180</v>
      </c>
      <c r="D394" s="77">
        <v>3</v>
      </c>
      <c r="E394" s="77">
        <v>2</v>
      </c>
      <c r="F394" s="79">
        <f t="shared" si="6"/>
        <v>1524.7619999999999</v>
      </c>
      <c r="J394" s="78">
        <v>12427</v>
      </c>
      <c r="K394" s="78" t="s">
        <v>173</v>
      </c>
      <c r="L394" s="78">
        <v>1524.7619999999999</v>
      </c>
    </row>
    <row r="395" spans="1:12">
      <c r="A395" s="77">
        <v>681581</v>
      </c>
      <c r="B395" s="77">
        <v>12434</v>
      </c>
      <c r="C395" s="77" t="s">
        <v>180</v>
      </c>
      <c r="D395" s="77">
        <v>2</v>
      </c>
      <c r="E395" s="77">
        <v>1</v>
      </c>
      <c r="F395" s="79">
        <f t="shared" si="6"/>
        <v>6932.7380000000003</v>
      </c>
      <c r="J395" s="78">
        <v>12434</v>
      </c>
      <c r="K395" s="78" t="s">
        <v>172</v>
      </c>
      <c r="L395" s="78">
        <v>6932.7380000000003</v>
      </c>
    </row>
    <row r="396" spans="1:12">
      <c r="A396" s="77">
        <v>62088</v>
      </c>
      <c r="B396" s="77">
        <v>12456</v>
      </c>
      <c r="C396" s="77" t="s">
        <v>180</v>
      </c>
      <c r="D396" s="77">
        <v>2</v>
      </c>
      <c r="E396" s="77">
        <v>1</v>
      </c>
      <c r="F396" s="79">
        <f t="shared" si="6"/>
        <v>2003.7159999999999</v>
      </c>
      <c r="J396" s="78">
        <v>12456</v>
      </c>
      <c r="K396" s="78" t="s">
        <v>173</v>
      </c>
      <c r="L396" s="78">
        <v>2003.7159999999999</v>
      </c>
    </row>
    <row r="397" spans="1:12">
      <c r="A397" s="77">
        <v>51676</v>
      </c>
      <c r="B397" s="77">
        <v>12458</v>
      </c>
      <c r="C397" s="77" t="s">
        <v>180</v>
      </c>
      <c r="D397" s="77">
        <v>2</v>
      </c>
      <c r="E397" s="77">
        <v>3</v>
      </c>
      <c r="F397" s="79">
        <f t="shared" si="6"/>
        <v>1188.027</v>
      </c>
      <c r="J397" s="78">
        <v>12458</v>
      </c>
      <c r="K397" s="78" t="s">
        <v>172</v>
      </c>
      <c r="L397" s="78">
        <v>1188.027</v>
      </c>
    </row>
    <row r="398" spans="1:12">
      <c r="A398" s="77">
        <v>233781</v>
      </c>
      <c r="B398" s="77">
        <v>12460</v>
      </c>
      <c r="C398" s="77" t="s">
        <v>180</v>
      </c>
      <c r="D398" s="77">
        <v>2</v>
      </c>
      <c r="E398" s="77">
        <v>1</v>
      </c>
      <c r="F398" s="79">
        <f t="shared" si="6"/>
        <v>1150.8789999999999</v>
      </c>
      <c r="J398" s="78">
        <v>12460</v>
      </c>
      <c r="K398" s="78" t="s">
        <v>173</v>
      </c>
      <c r="L398" s="78">
        <v>1150.8789999999999</v>
      </c>
    </row>
    <row r="399" spans="1:12">
      <c r="A399" s="77">
        <v>238157</v>
      </c>
      <c r="B399" s="77">
        <v>12478</v>
      </c>
      <c r="C399" s="77" t="s">
        <v>180</v>
      </c>
      <c r="D399" s="77">
        <v>2.2999999999999998</v>
      </c>
      <c r="E399" s="77">
        <v>2</v>
      </c>
      <c r="F399" s="79">
        <f t="shared" si="6"/>
        <v>1150.8789999999999</v>
      </c>
      <c r="J399" s="78">
        <v>12478</v>
      </c>
      <c r="K399" s="78" t="s">
        <v>173</v>
      </c>
      <c r="L399" s="78">
        <v>1150.8789999999999</v>
      </c>
    </row>
    <row r="400" spans="1:12">
      <c r="A400" s="77">
        <v>726301</v>
      </c>
      <c r="B400" s="77">
        <v>12482</v>
      </c>
      <c r="C400" s="77" t="s">
        <v>180</v>
      </c>
      <c r="D400" s="77">
        <v>2.5</v>
      </c>
      <c r="E400" s="77">
        <v>2</v>
      </c>
      <c r="F400" s="79">
        <f t="shared" si="6"/>
        <v>4956.4930000000004</v>
      </c>
      <c r="J400" s="78">
        <v>12482</v>
      </c>
      <c r="K400" s="78" t="s">
        <v>173</v>
      </c>
      <c r="L400" s="78">
        <v>4956.4930000000004</v>
      </c>
    </row>
    <row r="401" spans="1:12">
      <c r="A401" s="77">
        <v>63028</v>
      </c>
      <c r="B401" s="77">
        <v>12483</v>
      </c>
      <c r="C401" s="77" t="s">
        <v>180</v>
      </c>
      <c r="D401" s="77">
        <v>2.25</v>
      </c>
      <c r="E401" s="77">
        <v>1</v>
      </c>
      <c r="F401" s="79">
        <f t="shared" si="6"/>
        <v>1188.027</v>
      </c>
      <c r="J401" s="78">
        <v>12483</v>
      </c>
      <c r="K401" s="78" t="s">
        <v>172</v>
      </c>
      <c r="L401" s="78">
        <v>1188.027</v>
      </c>
    </row>
    <row r="402" spans="1:12">
      <c r="A402" s="77">
        <v>116874</v>
      </c>
      <c r="B402" s="77">
        <v>12486</v>
      </c>
      <c r="C402" s="77" t="s">
        <v>180</v>
      </c>
      <c r="D402" s="77">
        <v>2.25</v>
      </c>
      <c r="E402" s="77">
        <v>2</v>
      </c>
      <c r="F402" s="79">
        <f t="shared" si="6"/>
        <v>4956.4930000000004</v>
      </c>
      <c r="J402" s="78">
        <v>12486</v>
      </c>
      <c r="K402" s="78" t="s">
        <v>173</v>
      </c>
      <c r="L402" s="78">
        <v>4956.4930000000004</v>
      </c>
    </row>
    <row r="403" spans="1:12">
      <c r="A403" s="77">
        <v>112926</v>
      </c>
      <c r="B403" s="77">
        <v>12489</v>
      </c>
      <c r="C403" s="77" t="s">
        <v>180</v>
      </c>
      <c r="D403" s="77">
        <v>1</v>
      </c>
      <c r="E403" s="77">
        <v>1</v>
      </c>
      <c r="F403" s="79">
        <f t="shared" si="6"/>
        <v>4956.4930000000004</v>
      </c>
      <c r="J403" s="78">
        <v>12489</v>
      </c>
      <c r="K403" s="78" t="s">
        <v>173</v>
      </c>
      <c r="L403" s="78">
        <v>4956.4930000000004</v>
      </c>
    </row>
    <row r="404" spans="1:12">
      <c r="A404" s="77">
        <v>103880</v>
      </c>
      <c r="B404" s="77">
        <v>12494</v>
      </c>
      <c r="C404" s="77" t="s">
        <v>180</v>
      </c>
      <c r="D404" s="77">
        <v>3</v>
      </c>
      <c r="E404" s="77">
        <v>3</v>
      </c>
      <c r="F404" s="79">
        <f t="shared" si="6"/>
        <v>1524.7619999999999</v>
      </c>
      <c r="J404" s="78">
        <v>12494</v>
      </c>
      <c r="K404" s="78" t="s">
        <v>173</v>
      </c>
      <c r="L404" s="78">
        <v>1524.7619999999999</v>
      </c>
    </row>
    <row r="405" spans="1:12">
      <c r="A405" s="77">
        <v>28014</v>
      </c>
      <c r="B405" s="77">
        <v>12496</v>
      </c>
      <c r="C405" s="77" t="s">
        <v>180</v>
      </c>
      <c r="D405" s="77">
        <v>1.75</v>
      </c>
      <c r="E405" s="77">
        <v>1</v>
      </c>
      <c r="F405" s="79">
        <f t="shared" si="6"/>
        <v>1150.8789999999999</v>
      </c>
      <c r="J405" s="78">
        <v>12496</v>
      </c>
      <c r="K405" s="78" t="s">
        <v>173</v>
      </c>
      <c r="L405" s="78">
        <v>1150.8789999999999</v>
      </c>
    </row>
    <row r="406" spans="1:12">
      <c r="A406" s="77">
        <v>133954</v>
      </c>
      <c r="B406" s="77">
        <v>12499</v>
      </c>
      <c r="C406" s="77" t="s">
        <v>180</v>
      </c>
      <c r="D406" s="77">
        <v>2.5</v>
      </c>
      <c r="E406" s="77">
        <v>3</v>
      </c>
      <c r="F406" s="79">
        <f t="shared" si="6"/>
        <v>6932.7380000000003</v>
      </c>
      <c r="J406" s="78">
        <v>12499</v>
      </c>
      <c r="K406" s="78" t="s">
        <v>172</v>
      </c>
      <c r="L406" s="78">
        <v>6932.7380000000003</v>
      </c>
    </row>
    <row r="407" spans="1:12">
      <c r="A407" s="77">
        <v>48385</v>
      </c>
      <c r="B407" s="77">
        <v>12504</v>
      </c>
      <c r="C407" s="77" t="s">
        <v>180</v>
      </c>
      <c r="D407" s="77">
        <v>1.5</v>
      </c>
      <c r="E407" s="77">
        <v>1</v>
      </c>
      <c r="F407" s="79">
        <f t="shared" si="6"/>
        <v>1524.7619999999999</v>
      </c>
      <c r="J407" s="78">
        <v>12504</v>
      </c>
      <c r="K407" s="78" t="s">
        <v>173</v>
      </c>
      <c r="L407" s="78">
        <v>1524.7619999999999</v>
      </c>
    </row>
    <row r="408" spans="1:12">
      <c r="A408" s="77">
        <v>79615</v>
      </c>
      <c r="B408" s="77">
        <v>12505</v>
      </c>
      <c r="C408" s="77" t="s">
        <v>180</v>
      </c>
      <c r="D408" s="77">
        <v>3.25</v>
      </c>
      <c r="E408" s="77">
        <v>2</v>
      </c>
      <c r="F408" s="79">
        <f t="shared" si="6"/>
        <v>2003.7159999999999</v>
      </c>
      <c r="J408" s="78">
        <v>12505</v>
      </c>
      <c r="K408" s="78" t="s">
        <v>173</v>
      </c>
      <c r="L408" s="78">
        <v>2003.7159999999999</v>
      </c>
    </row>
    <row r="409" spans="1:12">
      <c r="A409" s="77">
        <v>680634</v>
      </c>
      <c r="B409" s="77">
        <v>12507</v>
      </c>
      <c r="C409" s="77" t="s">
        <v>184</v>
      </c>
      <c r="E409" s="77">
        <v>1</v>
      </c>
      <c r="F409" s="79">
        <f t="shared" si="6"/>
        <v>1524.7619999999999</v>
      </c>
      <c r="J409" s="78">
        <v>12507</v>
      </c>
      <c r="K409" s="78" t="s">
        <v>173</v>
      </c>
      <c r="L409" s="78">
        <v>1524.7619999999999</v>
      </c>
    </row>
    <row r="410" spans="1:12">
      <c r="A410" s="77">
        <v>82219</v>
      </c>
      <c r="B410" s="77">
        <v>12510</v>
      </c>
      <c r="C410" s="77" t="s">
        <v>180</v>
      </c>
      <c r="D410" s="77">
        <v>1.5</v>
      </c>
      <c r="E410" s="77">
        <v>3</v>
      </c>
      <c r="F410" s="79">
        <f t="shared" si="6"/>
        <v>2003.7159999999999</v>
      </c>
      <c r="J410" s="78">
        <v>12510</v>
      </c>
      <c r="K410" s="78" t="s">
        <v>173</v>
      </c>
      <c r="L410" s="78">
        <v>2003.7159999999999</v>
      </c>
    </row>
    <row r="411" spans="1:12">
      <c r="A411" s="77">
        <v>76747</v>
      </c>
      <c r="B411" s="77">
        <v>12514</v>
      </c>
      <c r="C411" s="77" t="s">
        <v>180</v>
      </c>
      <c r="D411" s="77">
        <v>1.5</v>
      </c>
      <c r="E411" s="77">
        <v>1</v>
      </c>
      <c r="F411" s="79">
        <f t="shared" si="6"/>
        <v>1524.7619999999999</v>
      </c>
      <c r="J411" s="78">
        <v>12514</v>
      </c>
      <c r="K411" s="78" t="s">
        <v>173</v>
      </c>
      <c r="L411" s="78">
        <v>1524.7619999999999</v>
      </c>
    </row>
    <row r="412" spans="1:12">
      <c r="A412" s="77">
        <v>89464</v>
      </c>
      <c r="B412" s="77">
        <v>12524</v>
      </c>
      <c r="C412" s="77" t="s">
        <v>180</v>
      </c>
      <c r="D412" s="77">
        <v>3.75</v>
      </c>
      <c r="E412" s="77">
        <v>1</v>
      </c>
      <c r="F412" s="79">
        <f t="shared" si="6"/>
        <v>2003.7159999999999</v>
      </c>
      <c r="J412" s="78">
        <v>12524</v>
      </c>
      <c r="K412" s="78" t="s">
        <v>173</v>
      </c>
      <c r="L412" s="78">
        <v>2003.7159999999999</v>
      </c>
    </row>
    <row r="413" spans="1:12">
      <c r="A413" s="77">
        <v>118131</v>
      </c>
      <c r="B413" s="77">
        <v>12556</v>
      </c>
      <c r="C413" s="77" t="s">
        <v>180</v>
      </c>
      <c r="D413" s="77">
        <v>1.75</v>
      </c>
      <c r="E413" s="77">
        <v>2</v>
      </c>
      <c r="F413" s="79">
        <f t="shared" si="6"/>
        <v>4956.4930000000004</v>
      </c>
      <c r="J413" s="78">
        <v>12556</v>
      </c>
      <c r="K413" s="78" t="s">
        <v>173</v>
      </c>
      <c r="L413" s="78">
        <v>4956.4930000000004</v>
      </c>
    </row>
    <row r="414" spans="1:12">
      <c r="A414" s="77">
        <v>149232</v>
      </c>
      <c r="B414" s="77">
        <v>12561</v>
      </c>
      <c r="C414" s="77" t="s">
        <v>180</v>
      </c>
      <c r="D414" s="77">
        <v>2.5</v>
      </c>
      <c r="E414" s="77">
        <v>1</v>
      </c>
      <c r="F414" s="79">
        <f t="shared" si="6"/>
        <v>4956.4930000000004</v>
      </c>
      <c r="J414" s="78">
        <v>12561</v>
      </c>
      <c r="K414" s="78" t="s">
        <v>173</v>
      </c>
      <c r="L414" s="78">
        <v>4956.4930000000004</v>
      </c>
    </row>
    <row r="415" spans="1:12">
      <c r="A415" s="77">
        <v>98711</v>
      </c>
      <c r="B415" s="77">
        <v>12564</v>
      </c>
      <c r="C415" s="77" t="s">
        <v>180</v>
      </c>
      <c r="D415" s="77">
        <v>2</v>
      </c>
      <c r="E415" s="77">
        <v>1</v>
      </c>
      <c r="F415" s="79">
        <f t="shared" si="6"/>
        <v>2003.7159999999999</v>
      </c>
      <c r="J415" s="78">
        <v>12564</v>
      </c>
      <c r="K415" s="78" t="s">
        <v>173</v>
      </c>
      <c r="L415" s="78">
        <v>2003.7159999999999</v>
      </c>
    </row>
    <row r="416" spans="1:12">
      <c r="A416" s="77">
        <v>92627</v>
      </c>
      <c r="B416" s="77">
        <v>12569</v>
      </c>
      <c r="C416" s="77" t="s">
        <v>180</v>
      </c>
      <c r="D416" s="77">
        <v>2</v>
      </c>
      <c r="E416" s="77">
        <v>1</v>
      </c>
      <c r="F416" s="79">
        <f t="shared" si="6"/>
        <v>2003.7159999999999</v>
      </c>
      <c r="J416" s="78">
        <v>12569</v>
      </c>
      <c r="K416" s="78" t="s">
        <v>173</v>
      </c>
      <c r="L416" s="78">
        <v>2003.7159999999999</v>
      </c>
    </row>
    <row r="417" spans="1:12">
      <c r="A417" s="77">
        <v>207110</v>
      </c>
      <c r="B417" s="77">
        <v>12572</v>
      </c>
      <c r="C417" s="77" t="s">
        <v>180</v>
      </c>
      <c r="D417" s="77">
        <v>1</v>
      </c>
      <c r="E417" s="77">
        <v>1</v>
      </c>
      <c r="F417" s="79">
        <f t="shared" si="6"/>
        <v>6932.7380000000003</v>
      </c>
      <c r="J417" s="78">
        <v>12572</v>
      </c>
      <c r="K417" s="78" t="s">
        <v>172</v>
      </c>
      <c r="L417" s="78">
        <v>6932.7380000000003</v>
      </c>
    </row>
    <row r="418" spans="1:12">
      <c r="A418" s="77">
        <v>90260</v>
      </c>
      <c r="B418" s="77">
        <v>12582</v>
      </c>
      <c r="C418" s="77" t="s">
        <v>180</v>
      </c>
      <c r="D418" s="77">
        <v>2.25</v>
      </c>
      <c r="E418" s="77">
        <v>3</v>
      </c>
      <c r="F418" s="79">
        <f t="shared" si="6"/>
        <v>2003.7159999999999</v>
      </c>
      <c r="J418" s="78">
        <v>12582</v>
      </c>
      <c r="K418" s="78" t="s">
        <v>173</v>
      </c>
      <c r="L418" s="78">
        <v>2003.7159999999999</v>
      </c>
    </row>
    <row r="419" spans="1:12">
      <c r="A419" s="77">
        <v>41312</v>
      </c>
      <c r="B419" s="77">
        <v>12600</v>
      </c>
      <c r="C419" s="77" t="s">
        <v>180</v>
      </c>
      <c r="D419" s="77">
        <v>2</v>
      </c>
      <c r="E419" s="77">
        <v>2</v>
      </c>
      <c r="F419" s="79">
        <f t="shared" si="6"/>
        <v>1524.7619999999999</v>
      </c>
      <c r="J419" s="78">
        <v>12600</v>
      </c>
      <c r="K419" s="78" t="s">
        <v>173</v>
      </c>
      <c r="L419" s="78">
        <v>1524.7619999999999</v>
      </c>
    </row>
    <row r="420" spans="1:12">
      <c r="A420" s="77">
        <v>35702</v>
      </c>
      <c r="B420" s="77">
        <v>12614</v>
      </c>
      <c r="C420" s="77" t="s">
        <v>180</v>
      </c>
      <c r="D420" s="77">
        <v>2</v>
      </c>
      <c r="E420" s="77">
        <v>2</v>
      </c>
      <c r="F420" s="79">
        <f t="shared" si="6"/>
        <v>1524.7619999999999</v>
      </c>
      <c r="J420" s="78">
        <v>12614</v>
      </c>
      <c r="K420" s="78" t="s">
        <v>173</v>
      </c>
      <c r="L420" s="78">
        <v>1524.7619999999999</v>
      </c>
    </row>
    <row r="421" spans="1:12">
      <c r="A421" s="77">
        <v>86342</v>
      </c>
      <c r="B421" s="77">
        <v>12620</v>
      </c>
      <c r="C421" s="77" t="s">
        <v>180</v>
      </c>
      <c r="D421" s="77">
        <v>1.75</v>
      </c>
      <c r="E421" s="77">
        <v>1</v>
      </c>
      <c r="F421" s="79">
        <f t="shared" si="6"/>
        <v>2003.7159999999999</v>
      </c>
      <c r="J421" s="78">
        <v>12620</v>
      </c>
      <c r="K421" s="78" t="s">
        <v>173</v>
      </c>
      <c r="L421" s="78">
        <v>2003.7159999999999</v>
      </c>
    </row>
    <row r="422" spans="1:12">
      <c r="A422" s="77">
        <v>84885</v>
      </c>
      <c r="B422" s="77">
        <v>12621</v>
      </c>
      <c r="C422" s="77" t="s">
        <v>180</v>
      </c>
      <c r="D422" s="77">
        <v>1.5</v>
      </c>
      <c r="E422" s="77">
        <v>2</v>
      </c>
      <c r="F422" s="79">
        <f t="shared" si="6"/>
        <v>2003.7159999999999</v>
      </c>
      <c r="J422" s="78">
        <v>12621</v>
      </c>
      <c r="K422" s="78" t="s">
        <v>173</v>
      </c>
      <c r="L422" s="78">
        <v>2003.7159999999999</v>
      </c>
    </row>
    <row r="423" spans="1:12">
      <c r="A423" s="77">
        <v>92399</v>
      </c>
      <c r="B423" s="77">
        <v>12630</v>
      </c>
      <c r="C423" s="77" t="s">
        <v>180</v>
      </c>
      <c r="D423" s="77">
        <v>2.75</v>
      </c>
      <c r="E423" s="77">
        <v>1</v>
      </c>
      <c r="F423" s="79">
        <f t="shared" si="6"/>
        <v>2003.7159999999999</v>
      </c>
      <c r="J423" s="78">
        <v>12630</v>
      </c>
      <c r="K423" s="78" t="s">
        <v>173</v>
      </c>
      <c r="L423" s="78">
        <v>2003.7159999999999</v>
      </c>
    </row>
    <row r="424" spans="1:12">
      <c r="A424" s="77">
        <v>27289</v>
      </c>
      <c r="B424" s="77">
        <v>12640</v>
      </c>
      <c r="C424" s="77" t="s">
        <v>180</v>
      </c>
      <c r="D424" s="77">
        <v>1.25</v>
      </c>
      <c r="E424" s="77">
        <v>1</v>
      </c>
      <c r="F424" s="79">
        <f t="shared" si="6"/>
        <v>1150.8789999999999</v>
      </c>
      <c r="J424" s="78">
        <v>12640</v>
      </c>
      <c r="K424" s="78" t="s">
        <v>173</v>
      </c>
      <c r="L424" s="78">
        <v>1150.8789999999999</v>
      </c>
    </row>
    <row r="425" spans="1:12">
      <c r="A425" s="77">
        <v>186470</v>
      </c>
      <c r="B425" s="77">
        <v>12643</v>
      </c>
      <c r="C425" s="77" t="s">
        <v>180</v>
      </c>
      <c r="D425" s="77">
        <v>2.2000000000000002</v>
      </c>
      <c r="E425" s="77">
        <v>2</v>
      </c>
      <c r="F425" s="79">
        <f t="shared" si="6"/>
        <v>6932.7380000000003</v>
      </c>
      <c r="J425" s="78">
        <v>12643</v>
      </c>
      <c r="K425" s="78" t="s">
        <v>172</v>
      </c>
      <c r="L425" s="78">
        <v>6932.7380000000003</v>
      </c>
    </row>
    <row r="426" spans="1:12">
      <c r="A426" s="77">
        <v>116344</v>
      </c>
      <c r="B426" s="77">
        <v>12648</v>
      </c>
      <c r="C426" s="77" t="s">
        <v>180</v>
      </c>
      <c r="D426" s="77">
        <v>1.5</v>
      </c>
      <c r="E426" s="77">
        <v>3</v>
      </c>
      <c r="F426" s="79">
        <f t="shared" si="6"/>
        <v>4956.4930000000004</v>
      </c>
      <c r="J426" s="78">
        <v>12648</v>
      </c>
      <c r="K426" s="78" t="s">
        <v>173</v>
      </c>
      <c r="L426" s="78">
        <v>4956.4930000000004</v>
      </c>
    </row>
    <row r="427" spans="1:12">
      <c r="A427" s="77">
        <v>123072</v>
      </c>
      <c r="B427" s="77">
        <v>12656</v>
      </c>
      <c r="C427" s="77" t="s">
        <v>180</v>
      </c>
      <c r="D427" s="77">
        <v>2</v>
      </c>
      <c r="E427" s="77">
        <v>1</v>
      </c>
      <c r="F427" s="79">
        <f t="shared" si="6"/>
        <v>2003.7159999999999</v>
      </c>
      <c r="J427" s="78">
        <v>12656</v>
      </c>
      <c r="K427" s="78" t="s">
        <v>173</v>
      </c>
      <c r="L427" s="78">
        <v>2003.7159999999999</v>
      </c>
    </row>
    <row r="428" spans="1:12">
      <c r="A428" s="77">
        <v>52313</v>
      </c>
      <c r="B428" s="77">
        <v>12657</v>
      </c>
      <c r="C428" s="77" t="s">
        <v>180</v>
      </c>
      <c r="D428" s="77">
        <v>2</v>
      </c>
      <c r="E428" s="77">
        <v>2</v>
      </c>
      <c r="F428" s="79">
        <f t="shared" si="6"/>
        <v>1524.7619999999999</v>
      </c>
      <c r="J428" s="78">
        <v>12657</v>
      </c>
      <c r="K428" s="78" t="s">
        <v>173</v>
      </c>
      <c r="L428" s="78">
        <v>1524.7619999999999</v>
      </c>
    </row>
    <row r="429" spans="1:12">
      <c r="A429" s="77">
        <v>823799</v>
      </c>
      <c r="B429" s="77">
        <v>12661</v>
      </c>
      <c r="C429" s="77" t="s">
        <v>180</v>
      </c>
      <c r="D429" s="77">
        <v>1.5</v>
      </c>
      <c r="E429" s="77">
        <v>1</v>
      </c>
      <c r="F429" s="79">
        <f t="shared" si="6"/>
        <v>2003.7159999999999</v>
      </c>
      <c r="J429" s="78">
        <v>12661</v>
      </c>
      <c r="K429" s="78" t="s">
        <v>173</v>
      </c>
      <c r="L429" s="78">
        <v>2003.7159999999999</v>
      </c>
    </row>
    <row r="430" spans="1:12">
      <c r="A430" s="77">
        <v>148010</v>
      </c>
      <c r="B430" s="77">
        <v>12669</v>
      </c>
      <c r="C430" s="77" t="s">
        <v>180</v>
      </c>
      <c r="D430" s="77">
        <v>0.75</v>
      </c>
      <c r="E430" s="77">
        <v>3</v>
      </c>
      <c r="F430" s="79">
        <f t="shared" si="6"/>
        <v>4956.4930000000004</v>
      </c>
      <c r="J430" s="78">
        <v>12669</v>
      </c>
      <c r="K430" s="78" t="s">
        <v>173</v>
      </c>
      <c r="L430" s="78">
        <v>4956.4930000000004</v>
      </c>
    </row>
    <row r="431" spans="1:12">
      <c r="A431" s="77">
        <v>30918</v>
      </c>
      <c r="B431" s="77">
        <v>12670</v>
      </c>
      <c r="C431" s="77" t="s">
        <v>180</v>
      </c>
      <c r="D431" s="77">
        <v>4</v>
      </c>
      <c r="E431" s="77">
        <v>1</v>
      </c>
      <c r="F431" s="79">
        <f t="shared" si="6"/>
        <v>1524.7619999999999</v>
      </c>
      <c r="J431" s="78">
        <v>12670</v>
      </c>
      <c r="K431" s="78" t="s">
        <v>173</v>
      </c>
      <c r="L431" s="78">
        <v>1524.7619999999999</v>
      </c>
    </row>
    <row r="432" spans="1:12">
      <c r="A432" s="77">
        <v>213866</v>
      </c>
      <c r="B432" s="77">
        <v>12675</v>
      </c>
      <c r="C432" s="77" t="s">
        <v>180</v>
      </c>
      <c r="D432" s="77">
        <v>2</v>
      </c>
      <c r="E432" s="77">
        <v>1</v>
      </c>
      <c r="F432" s="79">
        <f t="shared" si="6"/>
        <v>1464.694</v>
      </c>
      <c r="J432" s="78">
        <v>12675</v>
      </c>
      <c r="K432" s="78" t="s">
        <v>173</v>
      </c>
      <c r="L432" s="78">
        <v>1464.694</v>
      </c>
    </row>
    <row r="433" spans="1:12">
      <c r="A433" s="77">
        <v>85324</v>
      </c>
      <c r="B433" s="77">
        <v>12678</v>
      </c>
      <c r="C433" s="77" t="s">
        <v>180</v>
      </c>
      <c r="D433" s="77">
        <v>1.5</v>
      </c>
      <c r="E433" s="77">
        <v>3</v>
      </c>
      <c r="F433" s="79">
        <f t="shared" si="6"/>
        <v>2003.7159999999999</v>
      </c>
      <c r="J433" s="78">
        <v>12678</v>
      </c>
      <c r="K433" s="78" t="s">
        <v>173</v>
      </c>
      <c r="L433" s="78">
        <v>2003.7159999999999</v>
      </c>
    </row>
    <row r="434" spans="1:12">
      <c r="A434" s="77">
        <v>41756</v>
      </c>
      <c r="B434" s="77">
        <v>12679</v>
      </c>
      <c r="C434" s="77" t="s">
        <v>180</v>
      </c>
      <c r="D434" s="77">
        <v>3</v>
      </c>
      <c r="E434" s="77">
        <v>1</v>
      </c>
      <c r="F434" s="79">
        <f t="shared" si="6"/>
        <v>1524.7619999999999</v>
      </c>
      <c r="J434" s="78">
        <v>12679</v>
      </c>
      <c r="K434" s="78" t="s">
        <v>173</v>
      </c>
      <c r="L434" s="78">
        <v>1524.7619999999999</v>
      </c>
    </row>
    <row r="435" spans="1:12">
      <c r="A435" s="77">
        <v>93415</v>
      </c>
      <c r="B435" s="77">
        <v>12690</v>
      </c>
      <c r="C435" s="77" t="s">
        <v>180</v>
      </c>
      <c r="D435" s="77">
        <v>2</v>
      </c>
      <c r="E435" s="77">
        <v>2</v>
      </c>
      <c r="F435" s="79">
        <f t="shared" si="6"/>
        <v>4956.4930000000004</v>
      </c>
      <c r="J435" s="78">
        <v>12690</v>
      </c>
      <c r="K435" s="78" t="s">
        <v>173</v>
      </c>
      <c r="L435" s="78">
        <v>4956.4930000000004</v>
      </c>
    </row>
    <row r="436" spans="1:12">
      <c r="A436" s="77">
        <v>125441</v>
      </c>
      <c r="B436" s="77">
        <v>12693</v>
      </c>
      <c r="C436" s="77" t="s">
        <v>180</v>
      </c>
      <c r="D436" s="77">
        <v>3</v>
      </c>
      <c r="E436" s="77">
        <v>1</v>
      </c>
      <c r="F436" s="79">
        <f t="shared" si="6"/>
        <v>4956.4930000000004</v>
      </c>
      <c r="J436" s="78">
        <v>12693</v>
      </c>
      <c r="K436" s="78" t="s">
        <v>173</v>
      </c>
      <c r="L436" s="78">
        <v>4956.4930000000004</v>
      </c>
    </row>
    <row r="437" spans="1:12">
      <c r="A437" s="77">
        <v>66530</v>
      </c>
      <c r="B437" s="77">
        <v>12724</v>
      </c>
      <c r="C437" s="77" t="s">
        <v>180</v>
      </c>
      <c r="D437" s="77">
        <v>2.25</v>
      </c>
      <c r="E437" s="77">
        <v>3</v>
      </c>
      <c r="F437" s="79">
        <f t="shared" si="6"/>
        <v>2003.7159999999999</v>
      </c>
      <c r="J437" s="78">
        <v>12724</v>
      </c>
      <c r="K437" s="78" t="s">
        <v>173</v>
      </c>
      <c r="L437" s="78">
        <v>2003.7159999999999</v>
      </c>
    </row>
    <row r="438" spans="1:12">
      <c r="A438" s="77">
        <v>240215</v>
      </c>
      <c r="B438" s="77">
        <v>12730</v>
      </c>
      <c r="C438" s="77" t="s">
        <v>180</v>
      </c>
      <c r="D438" s="77">
        <v>2</v>
      </c>
      <c r="E438" s="77">
        <v>1</v>
      </c>
      <c r="F438" s="79">
        <f t="shared" si="6"/>
        <v>1150.8789999999999</v>
      </c>
      <c r="J438" s="78">
        <v>12730</v>
      </c>
      <c r="K438" s="78" t="s">
        <v>173</v>
      </c>
      <c r="L438" s="78">
        <v>1150.8789999999999</v>
      </c>
    </row>
    <row r="439" spans="1:12">
      <c r="A439" s="77">
        <v>195771</v>
      </c>
      <c r="B439" s="77">
        <v>12737</v>
      </c>
      <c r="C439" s="77" t="s">
        <v>180</v>
      </c>
      <c r="D439" s="77">
        <v>2.2999999999999998</v>
      </c>
      <c r="E439" s="77">
        <v>2</v>
      </c>
      <c r="F439" s="79">
        <f t="shared" si="6"/>
        <v>6932.7380000000003</v>
      </c>
      <c r="J439" s="78">
        <v>12737</v>
      </c>
      <c r="K439" s="78" t="s">
        <v>172</v>
      </c>
      <c r="L439" s="78">
        <v>6932.7380000000003</v>
      </c>
    </row>
    <row r="440" spans="1:12">
      <c r="A440" s="77">
        <v>232058</v>
      </c>
      <c r="B440" s="77">
        <v>12738</v>
      </c>
      <c r="C440" s="77" t="s">
        <v>180</v>
      </c>
      <c r="D440" s="77">
        <v>2.25</v>
      </c>
      <c r="E440" s="77">
        <v>1</v>
      </c>
      <c r="F440" s="79">
        <f t="shared" si="6"/>
        <v>1464.694</v>
      </c>
      <c r="J440" s="78">
        <v>12738</v>
      </c>
      <c r="K440" s="78" t="s">
        <v>173</v>
      </c>
      <c r="L440" s="78">
        <v>1464.694</v>
      </c>
    </row>
    <row r="441" spans="1:12">
      <c r="A441" s="77">
        <v>46204</v>
      </c>
      <c r="B441" s="77">
        <v>12739</v>
      </c>
      <c r="C441" s="77" t="s">
        <v>180</v>
      </c>
      <c r="D441" s="77">
        <v>2.75</v>
      </c>
      <c r="E441" s="77">
        <v>1</v>
      </c>
      <c r="F441" s="79">
        <f t="shared" si="6"/>
        <v>1188.027</v>
      </c>
      <c r="J441" s="78">
        <v>12739</v>
      </c>
      <c r="K441" s="78" t="s">
        <v>172</v>
      </c>
      <c r="L441" s="78">
        <v>1188.027</v>
      </c>
    </row>
    <row r="442" spans="1:12">
      <c r="A442" s="77">
        <v>149056</v>
      </c>
      <c r="B442" s="77">
        <v>12743</v>
      </c>
      <c r="C442" s="77" t="s">
        <v>180</v>
      </c>
      <c r="D442" s="77">
        <v>1.75</v>
      </c>
      <c r="E442" s="77">
        <v>2</v>
      </c>
      <c r="F442" s="79">
        <f t="shared" si="6"/>
        <v>4956.4930000000004</v>
      </c>
      <c r="J442" s="78">
        <v>12743</v>
      </c>
      <c r="K442" s="78" t="s">
        <v>173</v>
      </c>
      <c r="L442" s="78">
        <v>4956.4930000000004</v>
      </c>
    </row>
    <row r="443" spans="1:12">
      <c r="A443" s="77">
        <v>129691</v>
      </c>
      <c r="B443" s="77">
        <v>12745</v>
      </c>
      <c r="C443" s="77" t="s">
        <v>180</v>
      </c>
      <c r="D443" s="77">
        <v>2.25</v>
      </c>
      <c r="E443" s="77">
        <v>1</v>
      </c>
      <c r="F443" s="79">
        <f t="shared" si="6"/>
        <v>1524.7619999999999</v>
      </c>
      <c r="J443" s="78">
        <v>12745</v>
      </c>
      <c r="K443" s="78" t="s">
        <v>173</v>
      </c>
      <c r="L443" s="78">
        <v>1524.7619999999999</v>
      </c>
    </row>
    <row r="444" spans="1:12">
      <c r="A444" s="77">
        <v>178370</v>
      </c>
      <c r="B444" s="77">
        <v>12753</v>
      </c>
      <c r="C444" s="77" t="s">
        <v>180</v>
      </c>
      <c r="D444" s="77">
        <v>2.5</v>
      </c>
      <c r="E444" s="77">
        <v>2</v>
      </c>
      <c r="F444" s="79">
        <f t="shared" si="6"/>
        <v>1524.7619999999999</v>
      </c>
      <c r="J444" s="78">
        <v>12753</v>
      </c>
      <c r="K444" s="78" t="s">
        <v>173</v>
      </c>
      <c r="L444" s="78">
        <v>1524.7619999999999</v>
      </c>
    </row>
    <row r="445" spans="1:12">
      <c r="A445" s="77">
        <v>105499</v>
      </c>
      <c r="B445" s="77">
        <v>12755</v>
      </c>
      <c r="C445" s="77" t="s">
        <v>180</v>
      </c>
      <c r="D445" s="77">
        <v>3.5</v>
      </c>
      <c r="E445" s="77">
        <v>3</v>
      </c>
      <c r="F445" s="79">
        <f t="shared" si="6"/>
        <v>4956.4930000000004</v>
      </c>
      <c r="J445" s="78">
        <v>12755</v>
      </c>
      <c r="K445" s="78" t="s">
        <v>173</v>
      </c>
      <c r="L445" s="78">
        <v>4956.4930000000004</v>
      </c>
    </row>
    <row r="446" spans="1:12">
      <c r="A446" s="77">
        <v>62173</v>
      </c>
      <c r="B446" s="77">
        <v>12759</v>
      </c>
      <c r="C446" s="77" t="s">
        <v>180</v>
      </c>
      <c r="D446" s="77">
        <v>1.75</v>
      </c>
      <c r="E446" s="77">
        <v>2</v>
      </c>
      <c r="F446" s="79">
        <f t="shared" si="6"/>
        <v>2003.7159999999999</v>
      </c>
      <c r="J446" s="78">
        <v>12759</v>
      </c>
      <c r="K446" s="78" t="s">
        <v>173</v>
      </c>
      <c r="L446" s="78">
        <v>2003.7159999999999</v>
      </c>
    </row>
    <row r="447" spans="1:12">
      <c r="A447" s="77">
        <v>223120</v>
      </c>
      <c r="B447" s="77">
        <v>12771</v>
      </c>
      <c r="C447" s="77" t="s">
        <v>180</v>
      </c>
      <c r="D447" s="77">
        <v>2.5</v>
      </c>
      <c r="E447" s="77">
        <v>3</v>
      </c>
      <c r="F447" s="79">
        <f t="shared" si="6"/>
        <v>1464.694</v>
      </c>
      <c r="J447" s="78">
        <v>12771</v>
      </c>
      <c r="K447" s="78" t="s">
        <v>173</v>
      </c>
      <c r="L447" s="78">
        <v>1464.694</v>
      </c>
    </row>
    <row r="448" spans="1:12">
      <c r="A448" s="77">
        <v>137646</v>
      </c>
      <c r="B448" s="77">
        <v>12773</v>
      </c>
      <c r="C448" s="77" t="s">
        <v>180</v>
      </c>
      <c r="D448" s="77">
        <v>3</v>
      </c>
      <c r="E448" s="77">
        <v>2</v>
      </c>
      <c r="F448" s="79">
        <f t="shared" si="6"/>
        <v>4956.4930000000004</v>
      </c>
      <c r="J448" s="78">
        <v>12773</v>
      </c>
      <c r="K448" s="78" t="s">
        <v>173</v>
      </c>
      <c r="L448" s="78">
        <v>4956.4930000000004</v>
      </c>
    </row>
    <row r="449" spans="1:12">
      <c r="A449" s="77">
        <v>198577</v>
      </c>
      <c r="B449" s="77">
        <v>12777</v>
      </c>
      <c r="C449" s="77" t="s">
        <v>180</v>
      </c>
      <c r="D449" s="77">
        <v>1.5</v>
      </c>
      <c r="E449" s="77">
        <v>2</v>
      </c>
      <c r="F449" s="79">
        <f t="shared" si="6"/>
        <v>1188.027</v>
      </c>
      <c r="J449" s="78">
        <v>12777</v>
      </c>
      <c r="K449" s="78" t="s">
        <v>172</v>
      </c>
      <c r="L449" s="78">
        <v>1188.027</v>
      </c>
    </row>
    <row r="450" spans="1:12">
      <c r="A450" s="77">
        <v>164447</v>
      </c>
      <c r="B450" s="77">
        <v>12782</v>
      </c>
      <c r="C450" s="77" t="s">
        <v>180</v>
      </c>
      <c r="D450" s="77">
        <v>2.5</v>
      </c>
      <c r="E450" s="77">
        <v>1</v>
      </c>
      <c r="F450" s="79">
        <f t="shared" si="6"/>
        <v>1524.7619999999999</v>
      </c>
      <c r="J450" s="78">
        <v>12782</v>
      </c>
      <c r="K450" s="78" t="s">
        <v>173</v>
      </c>
      <c r="L450" s="78">
        <v>1524.7619999999999</v>
      </c>
    </row>
    <row r="451" spans="1:12">
      <c r="A451" s="77">
        <v>130743</v>
      </c>
      <c r="B451" s="77">
        <v>12814</v>
      </c>
      <c r="C451" s="77" t="s">
        <v>180</v>
      </c>
      <c r="D451" s="77">
        <v>1.5</v>
      </c>
      <c r="E451" s="77">
        <v>2</v>
      </c>
      <c r="F451" s="79">
        <f t="shared" ref="F451:F514" si="7">VLOOKUP(B451,$J$2:$L$1405,3,FALSE)</f>
        <v>1524.7619999999999</v>
      </c>
      <c r="J451" s="78">
        <v>12814</v>
      </c>
      <c r="K451" s="78" t="s">
        <v>173</v>
      </c>
      <c r="L451" s="78">
        <v>1524.7619999999999</v>
      </c>
    </row>
    <row r="452" spans="1:12">
      <c r="A452" s="77">
        <v>130656</v>
      </c>
      <c r="B452" s="77">
        <v>12818</v>
      </c>
      <c r="C452" s="77" t="s">
        <v>180</v>
      </c>
      <c r="D452" s="77">
        <v>1.5</v>
      </c>
      <c r="E452" s="77">
        <v>2</v>
      </c>
      <c r="F452" s="79">
        <f t="shared" si="7"/>
        <v>1524.7619999999999</v>
      </c>
      <c r="J452" s="78">
        <v>12818</v>
      </c>
      <c r="K452" s="78" t="s">
        <v>173</v>
      </c>
      <c r="L452" s="78">
        <v>1524.7619999999999</v>
      </c>
    </row>
    <row r="453" spans="1:12">
      <c r="A453" s="77">
        <v>157919</v>
      </c>
      <c r="B453" s="77">
        <v>12825</v>
      </c>
      <c r="C453" s="77" t="s">
        <v>180</v>
      </c>
      <c r="D453" s="77">
        <v>2.5</v>
      </c>
      <c r="E453" s="77">
        <v>1</v>
      </c>
      <c r="F453" s="79">
        <f t="shared" si="7"/>
        <v>1524.7619999999999</v>
      </c>
      <c r="J453" s="78">
        <v>12825</v>
      </c>
      <c r="K453" s="78" t="s">
        <v>173</v>
      </c>
      <c r="L453" s="78">
        <v>1524.7619999999999</v>
      </c>
    </row>
    <row r="454" spans="1:12">
      <c r="A454" s="77">
        <v>89883</v>
      </c>
      <c r="B454" s="77">
        <v>12833</v>
      </c>
      <c r="C454" s="77" t="s">
        <v>180</v>
      </c>
      <c r="D454" s="77">
        <v>1</v>
      </c>
      <c r="E454" s="77">
        <v>3</v>
      </c>
      <c r="F454" s="79">
        <f t="shared" si="7"/>
        <v>2003.7159999999999</v>
      </c>
      <c r="J454" s="78">
        <v>12833</v>
      </c>
      <c r="K454" s="78" t="s">
        <v>173</v>
      </c>
      <c r="L454" s="78">
        <v>2003.7159999999999</v>
      </c>
    </row>
    <row r="455" spans="1:12">
      <c r="A455" s="77">
        <v>213755</v>
      </c>
      <c r="B455" s="77">
        <v>12845</v>
      </c>
      <c r="C455" s="77" t="s">
        <v>180</v>
      </c>
      <c r="D455" s="77">
        <v>2.25</v>
      </c>
      <c r="E455" s="77">
        <v>2</v>
      </c>
      <c r="F455" s="79">
        <f t="shared" si="7"/>
        <v>1464.694</v>
      </c>
      <c r="J455" s="78">
        <v>12845</v>
      </c>
      <c r="K455" s="78" t="s">
        <v>173</v>
      </c>
      <c r="L455" s="78">
        <v>1464.694</v>
      </c>
    </row>
    <row r="456" spans="1:12">
      <c r="A456" s="77">
        <v>40074</v>
      </c>
      <c r="B456" s="77">
        <v>12853</v>
      </c>
      <c r="C456" s="77" t="s">
        <v>180</v>
      </c>
      <c r="D456" s="77">
        <v>1.75</v>
      </c>
      <c r="E456" s="77">
        <v>3</v>
      </c>
      <c r="F456" s="79">
        <f t="shared" si="7"/>
        <v>1188.027</v>
      </c>
      <c r="J456" s="78">
        <v>12853</v>
      </c>
      <c r="K456" s="78" t="s">
        <v>172</v>
      </c>
      <c r="L456" s="78">
        <v>1188.027</v>
      </c>
    </row>
    <row r="457" spans="1:12">
      <c r="A457" s="77">
        <v>141132</v>
      </c>
      <c r="B457" s="77">
        <v>12856</v>
      </c>
      <c r="C457" s="77" t="s">
        <v>180</v>
      </c>
      <c r="D457" s="77">
        <v>2.5</v>
      </c>
      <c r="E457" s="77">
        <v>1</v>
      </c>
      <c r="F457" s="79">
        <f t="shared" si="7"/>
        <v>4956.4930000000004</v>
      </c>
      <c r="J457" s="78">
        <v>12856</v>
      </c>
      <c r="K457" s="78" t="s">
        <v>173</v>
      </c>
      <c r="L457" s="78">
        <v>4956.4930000000004</v>
      </c>
    </row>
    <row r="458" spans="1:12">
      <c r="A458" s="77">
        <v>143275</v>
      </c>
      <c r="B458" s="77">
        <v>12889</v>
      </c>
      <c r="C458" s="77" t="s">
        <v>180</v>
      </c>
      <c r="D458" s="77">
        <v>2</v>
      </c>
      <c r="E458" s="77">
        <v>2</v>
      </c>
      <c r="F458" s="79">
        <f t="shared" si="7"/>
        <v>4956.4930000000004</v>
      </c>
      <c r="J458" s="78">
        <v>12889</v>
      </c>
      <c r="K458" s="78" t="s">
        <v>173</v>
      </c>
      <c r="L458" s="78">
        <v>4956.4930000000004</v>
      </c>
    </row>
    <row r="459" spans="1:12">
      <c r="A459" s="77">
        <v>126063</v>
      </c>
      <c r="B459" s="77">
        <v>12895</v>
      </c>
      <c r="C459" s="77" t="s">
        <v>180</v>
      </c>
      <c r="D459" s="77">
        <v>2</v>
      </c>
      <c r="E459" s="77">
        <v>2</v>
      </c>
      <c r="F459" s="79">
        <f t="shared" si="7"/>
        <v>4956.4930000000004</v>
      </c>
      <c r="J459" s="78">
        <v>12895</v>
      </c>
      <c r="K459" s="78" t="s">
        <v>173</v>
      </c>
      <c r="L459" s="78">
        <v>4956.4930000000004</v>
      </c>
    </row>
    <row r="460" spans="1:12">
      <c r="A460" s="77">
        <v>138123</v>
      </c>
      <c r="B460" s="77">
        <v>12897</v>
      </c>
      <c r="C460" s="77" t="s">
        <v>180</v>
      </c>
      <c r="D460" s="77">
        <v>2.5</v>
      </c>
      <c r="E460" s="77">
        <v>2</v>
      </c>
      <c r="F460" s="79">
        <f t="shared" si="7"/>
        <v>1524.7619999999999</v>
      </c>
      <c r="J460" s="78">
        <v>12897</v>
      </c>
      <c r="K460" s="78" t="s">
        <v>173</v>
      </c>
      <c r="L460" s="78">
        <v>1524.7619999999999</v>
      </c>
    </row>
    <row r="461" spans="1:12">
      <c r="A461" s="77">
        <v>90149</v>
      </c>
      <c r="B461" s="77">
        <v>12898</v>
      </c>
      <c r="C461" s="77" t="s">
        <v>180</v>
      </c>
      <c r="D461" s="77">
        <v>2.25</v>
      </c>
      <c r="E461" s="77">
        <v>2</v>
      </c>
      <c r="F461" s="79">
        <f t="shared" si="7"/>
        <v>4956.4930000000004</v>
      </c>
      <c r="J461" s="78">
        <v>12898</v>
      </c>
      <c r="K461" s="78" t="s">
        <v>173</v>
      </c>
      <c r="L461" s="78">
        <v>4956.4930000000004</v>
      </c>
    </row>
    <row r="462" spans="1:12">
      <c r="A462" s="77">
        <v>153464</v>
      </c>
      <c r="B462" s="77">
        <v>12902</v>
      </c>
      <c r="C462" s="77" t="s">
        <v>180</v>
      </c>
      <c r="D462" s="77">
        <v>1.5</v>
      </c>
      <c r="E462" s="77">
        <v>1</v>
      </c>
      <c r="F462" s="79">
        <f t="shared" si="7"/>
        <v>1524.7619999999999</v>
      </c>
      <c r="J462" s="78">
        <v>12902</v>
      </c>
      <c r="K462" s="78" t="s">
        <v>173</v>
      </c>
      <c r="L462" s="78">
        <v>1524.7619999999999</v>
      </c>
    </row>
    <row r="463" spans="1:12">
      <c r="A463" s="77">
        <v>139793</v>
      </c>
      <c r="B463" s="77">
        <v>12906</v>
      </c>
      <c r="C463" s="77" t="s">
        <v>180</v>
      </c>
      <c r="D463" s="77">
        <v>2.5</v>
      </c>
      <c r="E463" s="77">
        <v>2</v>
      </c>
      <c r="F463" s="79">
        <f t="shared" si="7"/>
        <v>4956.4930000000004</v>
      </c>
      <c r="J463" s="78">
        <v>12906</v>
      </c>
      <c r="K463" s="78" t="s">
        <v>173</v>
      </c>
      <c r="L463" s="78">
        <v>4956.4930000000004</v>
      </c>
    </row>
    <row r="464" spans="1:12">
      <c r="A464" s="77">
        <v>102442</v>
      </c>
      <c r="B464" s="77">
        <v>12908</v>
      </c>
      <c r="C464" s="77" t="s">
        <v>180</v>
      </c>
      <c r="D464" s="77">
        <v>1.75</v>
      </c>
      <c r="E464" s="77">
        <v>1</v>
      </c>
      <c r="F464" s="79">
        <f t="shared" si="7"/>
        <v>1524.7619999999999</v>
      </c>
      <c r="J464" s="78">
        <v>12908</v>
      </c>
      <c r="K464" s="78" t="s">
        <v>173</v>
      </c>
      <c r="L464" s="78">
        <v>1524.7619999999999</v>
      </c>
    </row>
    <row r="465" spans="1:12">
      <c r="A465" s="77">
        <v>99886</v>
      </c>
      <c r="B465" s="77">
        <v>12939</v>
      </c>
      <c r="C465" s="77" t="s">
        <v>180</v>
      </c>
      <c r="D465" s="77">
        <v>1</v>
      </c>
      <c r="E465" s="77">
        <v>1</v>
      </c>
      <c r="F465" s="79">
        <f t="shared" si="7"/>
        <v>2003.7159999999999</v>
      </c>
      <c r="J465" s="78">
        <v>12939</v>
      </c>
      <c r="K465" s="78" t="s">
        <v>173</v>
      </c>
      <c r="L465" s="78">
        <v>2003.7159999999999</v>
      </c>
    </row>
    <row r="466" spans="1:12">
      <c r="A466" s="77">
        <v>148919</v>
      </c>
      <c r="B466" s="77">
        <v>12944</v>
      </c>
      <c r="C466" s="77" t="s">
        <v>180</v>
      </c>
      <c r="D466" s="77">
        <v>2.5</v>
      </c>
      <c r="E466" s="77">
        <v>2</v>
      </c>
      <c r="F466" s="79">
        <f t="shared" si="7"/>
        <v>4956.4930000000004</v>
      </c>
      <c r="J466" s="78">
        <v>12944</v>
      </c>
      <c r="K466" s="78" t="s">
        <v>173</v>
      </c>
      <c r="L466" s="78">
        <v>4956.4930000000004</v>
      </c>
    </row>
    <row r="467" spans="1:12">
      <c r="A467" s="77">
        <v>187174</v>
      </c>
      <c r="B467" s="77">
        <v>12955</v>
      </c>
      <c r="C467" s="77" t="s">
        <v>180</v>
      </c>
      <c r="D467" s="77">
        <v>1.5</v>
      </c>
      <c r="E467" s="77">
        <v>2</v>
      </c>
      <c r="F467" s="79">
        <f t="shared" si="7"/>
        <v>1524.7619999999999</v>
      </c>
      <c r="J467" s="78">
        <v>12955</v>
      </c>
      <c r="K467" s="78" t="s">
        <v>173</v>
      </c>
      <c r="L467" s="78">
        <v>1524.7619999999999</v>
      </c>
    </row>
    <row r="468" spans="1:12">
      <c r="A468" s="77">
        <v>73980</v>
      </c>
      <c r="B468" s="77">
        <v>12956</v>
      </c>
      <c r="C468" s="77" t="s">
        <v>180</v>
      </c>
      <c r="D468" s="77">
        <v>3</v>
      </c>
      <c r="E468" s="77">
        <v>1</v>
      </c>
      <c r="F468" s="79">
        <f t="shared" si="7"/>
        <v>2003.7159999999999</v>
      </c>
      <c r="J468" s="78">
        <v>12956</v>
      </c>
      <c r="K468" s="78" t="s">
        <v>173</v>
      </c>
      <c r="L468" s="78">
        <v>2003.7159999999999</v>
      </c>
    </row>
    <row r="469" spans="1:12">
      <c r="A469" s="77">
        <v>722931</v>
      </c>
      <c r="B469" s="77">
        <v>12975</v>
      </c>
      <c r="C469" s="77" t="s">
        <v>185</v>
      </c>
      <c r="D469" s="77">
        <v>1.75</v>
      </c>
      <c r="E469" s="77">
        <v>2</v>
      </c>
      <c r="F469" s="79">
        <f t="shared" si="7"/>
        <v>6932.7380000000003</v>
      </c>
      <c r="J469" s="78">
        <v>12975</v>
      </c>
      <c r="K469" s="78" t="s">
        <v>172</v>
      </c>
      <c r="L469" s="78">
        <v>6932.7380000000003</v>
      </c>
    </row>
    <row r="470" spans="1:12">
      <c r="A470" s="77">
        <v>227331</v>
      </c>
      <c r="B470" s="77">
        <v>12977</v>
      </c>
      <c r="C470" s="77" t="s">
        <v>180</v>
      </c>
      <c r="D470" s="77">
        <v>1.75</v>
      </c>
      <c r="E470" s="77">
        <v>2</v>
      </c>
      <c r="F470" s="79">
        <f t="shared" si="7"/>
        <v>4956.4930000000004</v>
      </c>
      <c r="J470" s="78">
        <v>12977</v>
      </c>
      <c r="K470" s="78" t="s">
        <v>173</v>
      </c>
      <c r="L470" s="78">
        <v>4956.4930000000004</v>
      </c>
    </row>
    <row r="471" spans="1:12">
      <c r="A471" s="77">
        <v>104754</v>
      </c>
      <c r="B471" s="77">
        <v>12992</v>
      </c>
      <c r="C471" s="77" t="s">
        <v>180</v>
      </c>
      <c r="D471" s="77">
        <v>1.5</v>
      </c>
      <c r="E471" s="77">
        <v>2</v>
      </c>
      <c r="F471" s="79">
        <f t="shared" si="7"/>
        <v>4956.4930000000004</v>
      </c>
      <c r="J471" s="78">
        <v>12992</v>
      </c>
      <c r="K471" s="78" t="s">
        <v>173</v>
      </c>
      <c r="L471" s="78">
        <v>4956.4930000000004</v>
      </c>
    </row>
    <row r="472" spans="1:12">
      <c r="A472" s="77">
        <v>177990</v>
      </c>
      <c r="B472" s="77">
        <v>12994</v>
      </c>
      <c r="C472" s="77" t="s">
        <v>180</v>
      </c>
      <c r="D472" s="77">
        <v>2</v>
      </c>
      <c r="E472" s="77">
        <v>2</v>
      </c>
      <c r="F472" s="79">
        <f t="shared" si="7"/>
        <v>6932.7380000000003</v>
      </c>
      <c r="J472" s="78">
        <v>12994</v>
      </c>
      <c r="K472" s="78" t="s">
        <v>172</v>
      </c>
      <c r="L472" s="78">
        <v>6932.7380000000003</v>
      </c>
    </row>
    <row r="473" spans="1:12">
      <c r="A473" s="77">
        <v>193388</v>
      </c>
      <c r="B473" s="77">
        <v>13004</v>
      </c>
      <c r="C473" s="77" t="s">
        <v>180</v>
      </c>
      <c r="D473" s="77">
        <v>2.5</v>
      </c>
      <c r="E473" s="77">
        <v>1</v>
      </c>
      <c r="F473" s="79">
        <f t="shared" si="7"/>
        <v>1464.694</v>
      </c>
      <c r="J473" s="78">
        <v>13004</v>
      </c>
      <c r="K473" s="78" t="s">
        <v>173</v>
      </c>
      <c r="L473" s="78">
        <v>1464.694</v>
      </c>
    </row>
    <row r="474" spans="1:12">
      <c r="A474" s="77">
        <v>44337</v>
      </c>
      <c r="B474" s="77">
        <v>13011</v>
      </c>
      <c r="C474" s="77" t="s">
        <v>180</v>
      </c>
      <c r="D474" s="77">
        <v>2.5</v>
      </c>
      <c r="E474" s="77">
        <v>2</v>
      </c>
      <c r="F474" s="79">
        <f t="shared" si="7"/>
        <v>1188.027</v>
      </c>
      <c r="J474" s="78">
        <v>13011</v>
      </c>
      <c r="K474" s="78" t="s">
        <v>172</v>
      </c>
      <c r="L474" s="78">
        <v>1188.027</v>
      </c>
    </row>
    <row r="475" spans="1:12">
      <c r="A475" s="77">
        <v>79482</v>
      </c>
      <c r="B475" s="77">
        <v>13017</v>
      </c>
      <c r="C475" s="77" t="s">
        <v>180</v>
      </c>
      <c r="D475" s="77">
        <v>2.5</v>
      </c>
      <c r="E475" s="77">
        <v>3</v>
      </c>
      <c r="F475" s="79">
        <f t="shared" si="7"/>
        <v>2003.7159999999999</v>
      </c>
      <c r="J475" s="78">
        <v>13017</v>
      </c>
      <c r="K475" s="78" t="s">
        <v>173</v>
      </c>
      <c r="L475" s="78">
        <v>2003.7159999999999</v>
      </c>
    </row>
    <row r="476" spans="1:12">
      <c r="A476" s="77">
        <v>181713</v>
      </c>
      <c r="B476" s="77">
        <v>13019</v>
      </c>
      <c r="C476" s="77" t="s">
        <v>180</v>
      </c>
      <c r="D476" s="77">
        <v>2</v>
      </c>
      <c r="E476" s="77">
        <v>3</v>
      </c>
      <c r="F476" s="79">
        <f t="shared" si="7"/>
        <v>6932.7380000000003</v>
      </c>
      <c r="J476" s="78">
        <v>13019</v>
      </c>
      <c r="K476" s="78" t="s">
        <v>172</v>
      </c>
      <c r="L476" s="78">
        <v>6932.7380000000003</v>
      </c>
    </row>
    <row r="477" spans="1:12">
      <c r="A477" s="77">
        <v>83706</v>
      </c>
      <c r="B477" s="77">
        <v>13023</v>
      </c>
      <c r="C477" s="77" t="s">
        <v>180</v>
      </c>
      <c r="D477" s="77">
        <v>0.9</v>
      </c>
      <c r="E477" s="77">
        <v>1</v>
      </c>
      <c r="F477" s="79">
        <f t="shared" si="7"/>
        <v>2003.7159999999999</v>
      </c>
      <c r="J477" s="78">
        <v>13023</v>
      </c>
      <c r="K477" s="78" t="s">
        <v>173</v>
      </c>
      <c r="L477" s="78">
        <v>2003.7159999999999</v>
      </c>
    </row>
    <row r="478" spans="1:12">
      <c r="A478" s="77">
        <v>130828</v>
      </c>
      <c r="B478" s="77">
        <v>13041</v>
      </c>
      <c r="C478" s="77" t="s">
        <v>180</v>
      </c>
      <c r="D478" s="77">
        <v>2.25</v>
      </c>
      <c r="E478" s="77">
        <v>1</v>
      </c>
      <c r="F478" s="79">
        <f t="shared" si="7"/>
        <v>4956.4930000000004</v>
      </c>
      <c r="J478" s="78">
        <v>13041</v>
      </c>
      <c r="K478" s="78" t="s">
        <v>173</v>
      </c>
      <c r="L478" s="78">
        <v>4956.4930000000004</v>
      </c>
    </row>
    <row r="479" spans="1:12">
      <c r="A479" s="77">
        <v>207506</v>
      </c>
      <c r="B479" s="77">
        <v>13046</v>
      </c>
      <c r="C479" s="77" t="s">
        <v>180</v>
      </c>
      <c r="D479" s="77">
        <v>2</v>
      </c>
      <c r="E479" s="77">
        <v>2</v>
      </c>
      <c r="F479" s="79">
        <f t="shared" si="7"/>
        <v>1464.694</v>
      </c>
      <c r="J479" s="78">
        <v>13046</v>
      </c>
      <c r="K479" s="78" t="s">
        <v>173</v>
      </c>
      <c r="L479" s="78">
        <v>1464.694</v>
      </c>
    </row>
    <row r="480" spans="1:12">
      <c r="A480" s="77">
        <v>141019</v>
      </c>
      <c r="B480" s="77">
        <v>13051</v>
      </c>
      <c r="C480" s="77" t="s">
        <v>180</v>
      </c>
      <c r="D480" s="77">
        <v>2.5</v>
      </c>
      <c r="E480" s="77">
        <v>1</v>
      </c>
      <c r="F480" s="79">
        <f t="shared" si="7"/>
        <v>4956.4930000000004</v>
      </c>
      <c r="J480" s="78">
        <v>13051</v>
      </c>
      <c r="K480" s="78" t="s">
        <v>173</v>
      </c>
      <c r="L480" s="78">
        <v>4956.4930000000004</v>
      </c>
    </row>
    <row r="481" spans="1:12">
      <c r="A481" s="77">
        <v>195500</v>
      </c>
      <c r="B481" s="77">
        <v>13055</v>
      </c>
      <c r="C481" s="77" t="s">
        <v>180</v>
      </c>
      <c r="D481" s="77">
        <v>2.25</v>
      </c>
      <c r="E481" s="77">
        <v>3</v>
      </c>
      <c r="F481" s="79">
        <f t="shared" si="7"/>
        <v>4956.4930000000004</v>
      </c>
      <c r="J481" s="78">
        <v>13055</v>
      </c>
      <c r="K481" s="78" t="s">
        <v>173</v>
      </c>
      <c r="L481" s="78">
        <v>4956.4930000000004</v>
      </c>
    </row>
    <row r="482" spans="1:12">
      <c r="A482" s="77">
        <v>196711</v>
      </c>
      <c r="B482" s="77">
        <v>13094</v>
      </c>
      <c r="C482" s="77" t="s">
        <v>180</v>
      </c>
      <c r="D482" s="77">
        <v>2</v>
      </c>
      <c r="E482" s="77">
        <v>3</v>
      </c>
      <c r="F482" s="79">
        <f t="shared" si="7"/>
        <v>4956.4930000000004</v>
      </c>
      <c r="J482" s="78">
        <v>13094</v>
      </c>
      <c r="K482" s="78" t="s">
        <v>173</v>
      </c>
      <c r="L482" s="78">
        <v>4956.4930000000004</v>
      </c>
    </row>
    <row r="483" spans="1:12">
      <c r="A483" s="77">
        <v>226902</v>
      </c>
      <c r="B483" s="77">
        <v>13113</v>
      </c>
      <c r="C483" s="77" t="s">
        <v>180</v>
      </c>
      <c r="D483" s="77">
        <v>2.25</v>
      </c>
      <c r="E483" s="77">
        <v>2</v>
      </c>
      <c r="F483" s="79">
        <f t="shared" si="7"/>
        <v>1464.694</v>
      </c>
      <c r="J483" s="78">
        <v>13113</v>
      </c>
      <c r="K483" s="78" t="s">
        <v>173</v>
      </c>
      <c r="L483" s="78">
        <v>1464.694</v>
      </c>
    </row>
    <row r="484" spans="1:12">
      <c r="A484" s="77">
        <v>172917</v>
      </c>
      <c r="B484" s="77">
        <v>13127</v>
      </c>
      <c r="C484" s="77" t="s">
        <v>180</v>
      </c>
      <c r="D484" s="77">
        <v>1.75</v>
      </c>
      <c r="E484" s="77">
        <v>1</v>
      </c>
      <c r="F484" s="79">
        <f t="shared" si="7"/>
        <v>4956.4930000000004</v>
      </c>
      <c r="J484" s="78">
        <v>13127</v>
      </c>
      <c r="K484" s="78" t="s">
        <v>173</v>
      </c>
      <c r="L484" s="78">
        <v>4956.4930000000004</v>
      </c>
    </row>
    <row r="485" spans="1:12">
      <c r="A485" s="77">
        <v>165739</v>
      </c>
      <c r="B485" s="77">
        <v>13129</v>
      </c>
      <c r="C485" s="77" t="s">
        <v>180</v>
      </c>
      <c r="D485" s="77">
        <v>2.5</v>
      </c>
      <c r="E485" s="77">
        <v>3</v>
      </c>
      <c r="F485" s="79">
        <f t="shared" si="7"/>
        <v>4956.4930000000004</v>
      </c>
      <c r="J485" s="78">
        <v>13129</v>
      </c>
      <c r="K485" s="78" t="s">
        <v>173</v>
      </c>
      <c r="L485" s="78">
        <v>4956.4930000000004</v>
      </c>
    </row>
    <row r="486" spans="1:12">
      <c r="A486" s="77">
        <v>677473</v>
      </c>
      <c r="B486" s="77">
        <v>13131</v>
      </c>
      <c r="C486" s="77" t="s">
        <v>180</v>
      </c>
      <c r="D486" s="77">
        <v>2.5</v>
      </c>
      <c r="E486" s="77">
        <v>1</v>
      </c>
      <c r="F486" s="79">
        <f t="shared" si="7"/>
        <v>1464.694</v>
      </c>
      <c r="J486" s="78">
        <v>13131</v>
      </c>
      <c r="K486" s="78" t="s">
        <v>173</v>
      </c>
      <c r="L486" s="78">
        <v>1464.694</v>
      </c>
    </row>
    <row r="487" spans="1:12">
      <c r="A487" s="77">
        <v>91139</v>
      </c>
      <c r="B487" s="77">
        <v>13141</v>
      </c>
      <c r="C487" s="77" t="s">
        <v>180</v>
      </c>
      <c r="D487" s="77">
        <v>2.5</v>
      </c>
      <c r="E487" s="77">
        <v>1</v>
      </c>
      <c r="F487" s="79">
        <f t="shared" si="7"/>
        <v>4956.4930000000004</v>
      </c>
      <c r="J487" s="78">
        <v>13141</v>
      </c>
      <c r="K487" s="78" t="s">
        <v>173</v>
      </c>
      <c r="L487" s="78">
        <v>4956.4930000000004</v>
      </c>
    </row>
    <row r="488" spans="1:12">
      <c r="A488" s="77">
        <v>116222</v>
      </c>
      <c r="B488" s="77">
        <v>13154</v>
      </c>
      <c r="C488" s="77" t="s">
        <v>180</v>
      </c>
      <c r="D488" s="77">
        <v>1.5</v>
      </c>
      <c r="E488" s="77">
        <v>2</v>
      </c>
      <c r="F488" s="79">
        <f t="shared" si="7"/>
        <v>4956.4930000000004</v>
      </c>
      <c r="J488" s="78">
        <v>13154</v>
      </c>
      <c r="K488" s="78" t="s">
        <v>173</v>
      </c>
      <c r="L488" s="78">
        <v>4956.4930000000004</v>
      </c>
    </row>
    <row r="489" spans="1:12">
      <c r="A489" s="77">
        <v>100852</v>
      </c>
      <c r="B489" s="77">
        <v>13165</v>
      </c>
      <c r="C489" s="77" t="s">
        <v>180</v>
      </c>
      <c r="D489" s="77">
        <v>2</v>
      </c>
      <c r="E489" s="77">
        <v>2</v>
      </c>
      <c r="F489" s="79">
        <f t="shared" si="7"/>
        <v>4956.4930000000004</v>
      </c>
      <c r="J489" s="78">
        <v>13165</v>
      </c>
      <c r="K489" s="78" t="s">
        <v>173</v>
      </c>
      <c r="L489" s="78">
        <v>4956.4930000000004</v>
      </c>
    </row>
    <row r="490" spans="1:12">
      <c r="A490" s="77">
        <v>235694</v>
      </c>
      <c r="B490" s="77">
        <v>13166</v>
      </c>
      <c r="C490" s="77" t="s">
        <v>180</v>
      </c>
      <c r="D490" s="77">
        <v>2.5</v>
      </c>
      <c r="E490" s="77">
        <v>2</v>
      </c>
      <c r="F490" s="79">
        <f t="shared" si="7"/>
        <v>1524.7619999999999</v>
      </c>
      <c r="J490" s="78">
        <v>13166</v>
      </c>
      <c r="K490" s="78" t="s">
        <v>173</v>
      </c>
      <c r="L490" s="78">
        <v>1524.7619999999999</v>
      </c>
    </row>
    <row r="491" spans="1:12">
      <c r="A491" s="77">
        <v>28736</v>
      </c>
      <c r="B491" s="77">
        <v>13169</v>
      </c>
      <c r="C491" s="77" t="s">
        <v>180</v>
      </c>
      <c r="D491" s="77">
        <v>2</v>
      </c>
      <c r="E491" s="77">
        <v>3</v>
      </c>
      <c r="F491" s="79">
        <f t="shared" si="7"/>
        <v>1150.8789999999999</v>
      </c>
      <c r="J491" s="78">
        <v>13169</v>
      </c>
      <c r="K491" s="78" t="s">
        <v>173</v>
      </c>
      <c r="L491" s="78">
        <v>1150.8789999999999</v>
      </c>
    </row>
    <row r="492" spans="1:12">
      <c r="A492" s="77">
        <v>725266</v>
      </c>
      <c r="B492" s="77">
        <v>13188</v>
      </c>
      <c r="C492" s="77" t="s">
        <v>180</v>
      </c>
      <c r="D492" s="77">
        <v>1.5</v>
      </c>
      <c r="E492" s="77">
        <v>2</v>
      </c>
      <c r="F492" s="79">
        <f t="shared" si="7"/>
        <v>1524.7619999999999</v>
      </c>
      <c r="J492" s="78">
        <v>13188</v>
      </c>
      <c r="K492" s="78" t="s">
        <v>173</v>
      </c>
      <c r="L492" s="78">
        <v>1524.7619999999999</v>
      </c>
    </row>
    <row r="493" spans="1:12">
      <c r="A493" s="77">
        <v>724997</v>
      </c>
      <c r="B493" s="77">
        <v>13191</v>
      </c>
      <c r="C493" s="77" t="s">
        <v>180</v>
      </c>
      <c r="D493" s="77">
        <v>1.75</v>
      </c>
      <c r="E493" s="77">
        <v>1</v>
      </c>
      <c r="F493" s="79">
        <f t="shared" si="7"/>
        <v>1524.7619999999999</v>
      </c>
      <c r="J493" s="78">
        <v>13191</v>
      </c>
      <c r="K493" s="78" t="s">
        <v>173</v>
      </c>
      <c r="L493" s="78">
        <v>1524.7619999999999</v>
      </c>
    </row>
    <row r="494" spans="1:12">
      <c r="A494" s="77">
        <v>680181</v>
      </c>
      <c r="B494" s="77">
        <v>13222</v>
      </c>
      <c r="C494" s="77" t="s">
        <v>180</v>
      </c>
      <c r="D494" s="77">
        <v>2.75</v>
      </c>
      <c r="E494" s="77">
        <v>1</v>
      </c>
      <c r="F494" s="79">
        <f t="shared" si="7"/>
        <v>2003.7159999999999</v>
      </c>
      <c r="J494" s="78">
        <v>13222</v>
      </c>
      <c r="K494" s="78" t="s">
        <v>173</v>
      </c>
      <c r="L494" s="78">
        <v>2003.7159999999999</v>
      </c>
    </row>
    <row r="495" spans="1:12">
      <c r="A495" s="77">
        <v>79717</v>
      </c>
      <c r="B495" s="77">
        <v>13232</v>
      </c>
      <c r="C495" s="77" t="s">
        <v>180</v>
      </c>
      <c r="D495" s="77">
        <v>3.5</v>
      </c>
      <c r="E495" s="77">
        <v>1</v>
      </c>
      <c r="F495" s="79">
        <f t="shared" si="7"/>
        <v>2003.7159999999999</v>
      </c>
      <c r="J495" s="78">
        <v>13232</v>
      </c>
      <c r="K495" s="78" t="s">
        <v>173</v>
      </c>
      <c r="L495" s="78">
        <v>2003.7159999999999</v>
      </c>
    </row>
    <row r="496" spans="1:12">
      <c r="A496" s="77">
        <v>153362</v>
      </c>
      <c r="B496" s="77">
        <v>13242</v>
      </c>
      <c r="C496" s="77" t="s">
        <v>180</v>
      </c>
      <c r="D496" s="77">
        <v>2.5</v>
      </c>
      <c r="E496" s="77">
        <v>2</v>
      </c>
      <c r="F496" s="79">
        <f t="shared" si="7"/>
        <v>4956.4930000000004</v>
      </c>
      <c r="J496" s="78">
        <v>13242</v>
      </c>
      <c r="K496" s="78" t="s">
        <v>173</v>
      </c>
      <c r="L496" s="78">
        <v>4956.4930000000004</v>
      </c>
    </row>
    <row r="497" spans="1:12">
      <c r="A497" s="77">
        <v>89720</v>
      </c>
      <c r="B497" s="77">
        <v>13246</v>
      </c>
      <c r="C497" s="77" t="s">
        <v>180</v>
      </c>
      <c r="D497" s="77">
        <v>1.5</v>
      </c>
      <c r="E497" s="77">
        <v>3</v>
      </c>
      <c r="F497" s="79">
        <f t="shared" si="7"/>
        <v>2003.7159999999999</v>
      </c>
      <c r="J497" s="78">
        <v>13246</v>
      </c>
      <c r="K497" s="78" t="s">
        <v>173</v>
      </c>
      <c r="L497" s="78">
        <v>2003.7159999999999</v>
      </c>
    </row>
    <row r="498" spans="1:12">
      <c r="A498" s="77">
        <v>680487</v>
      </c>
      <c r="B498" s="77">
        <v>13248</v>
      </c>
      <c r="C498" s="77" t="s">
        <v>180</v>
      </c>
      <c r="D498" s="77">
        <v>2.5</v>
      </c>
      <c r="E498" s="77">
        <v>2</v>
      </c>
      <c r="F498" s="79">
        <f t="shared" si="7"/>
        <v>1464.694</v>
      </c>
      <c r="J498" s="78">
        <v>13248</v>
      </c>
      <c r="K498" s="78" t="s">
        <v>173</v>
      </c>
      <c r="L498" s="78">
        <v>1464.694</v>
      </c>
    </row>
    <row r="499" spans="1:12">
      <c r="A499" s="77">
        <v>90393</v>
      </c>
      <c r="B499" s="77">
        <v>13250</v>
      </c>
      <c r="C499" s="77" t="s">
        <v>180</v>
      </c>
      <c r="D499" s="77">
        <v>2.25</v>
      </c>
      <c r="E499" s="77">
        <v>1</v>
      </c>
      <c r="F499" s="79">
        <f t="shared" si="7"/>
        <v>2003.7159999999999</v>
      </c>
      <c r="J499" s="78">
        <v>13250</v>
      </c>
      <c r="K499" s="78" t="s">
        <v>173</v>
      </c>
      <c r="L499" s="78">
        <v>2003.7159999999999</v>
      </c>
    </row>
    <row r="500" spans="1:12">
      <c r="A500" s="77">
        <v>214703</v>
      </c>
      <c r="B500" s="77">
        <v>13261</v>
      </c>
      <c r="C500" s="77" t="s">
        <v>180</v>
      </c>
      <c r="D500" s="77">
        <v>1.5</v>
      </c>
      <c r="E500" s="77">
        <v>2</v>
      </c>
      <c r="F500" s="79">
        <f t="shared" si="7"/>
        <v>6932.7380000000003</v>
      </c>
      <c r="J500" s="78">
        <v>13261</v>
      </c>
      <c r="K500" s="78" t="s">
        <v>172</v>
      </c>
      <c r="L500" s="78">
        <v>6932.7380000000003</v>
      </c>
    </row>
    <row r="501" spans="1:12">
      <c r="A501" s="77">
        <v>89256</v>
      </c>
      <c r="B501" s="77">
        <v>13265</v>
      </c>
      <c r="C501" s="77" t="s">
        <v>180</v>
      </c>
      <c r="D501" s="77">
        <v>2.5</v>
      </c>
      <c r="E501" s="77">
        <v>2</v>
      </c>
      <c r="F501" s="79">
        <f t="shared" si="7"/>
        <v>2003.7159999999999</v>
      </c>
      <c r="J501" s="78">
        <v>13265</v>
      </c>
      <c r="K501" s="78" t="s">
        <v>173</v>
      </c>
      <c r="L501" s="78">
        <v>2003.7159999999999</v>
      </c>
    </row>
    <row r="502" spans="1:12">
      <c r="A502" s="77">
        <v>115005</v>
      </c>
      <c r="B502" s="77">
        <v>13273</v>
      </c>
      <c r="C502" s="77" t="s">
        <v>180</v>
      </c>
      <c r="D502" s="77">
        <v>2.25</v>
      </c>
      <c r="E502" s="77">
        <v>1</v>
      </c>
      <c r="F502" s="79">
        <f t="shared" si="7"/>
        <v>4956.4930000000004</v>
      </c>
      <c r="J502" s="78">
        <v>13273</v>
      </c>
      <c r="K502" s="78" t="s">
        <v>173</v>
      </c>
      <c r="L502" s="78">
        <v>4956.4930000000004</v>
      </c>
    </row>
    <row r="503" spans="1:12">
      <c r="A503" s="77">
        <v>90005</v>
      </c>
      <c r="B503" s="77">
        <v>13275</v>
      </c>
      <c r="C503" s="77" t="s">
        <v>180</v>
      </c>
      <c r="D503" s="77">
        <v>3</v>
      </c>
      <c r="E503" s="77">
        <v>1</v>
      </c>
      <c r="F503" s="79">
        <f t="shared" si="7"/>
        <v>2003.7159999999999</v>
      </c>
      <c r="J503" s="78">
        <v>13275</v>
      </c>
      <c r="K503" s="78" t="s">
        <v>173</v>
      </c>
      <c r="L503" s="78">
        <v>2003.7159999999999</v>
      </c>
    </row>
    <row r="504" spans="1:12">
      <c r="A504" s="77">
        <v>76662</v>
      </c>
      <c r="B504" s="77">
        <v>13292</v>
      </c>
      <c r="C504" s="77" t="s">
        <v>180</v>
      </c>
      <c r="D504" s="77">
        <v>1.5</v>
      </c>
      <c r="E504" s="77">
        <v>1</v>
      </c>
      <c r="F504" s="79">
        <f t="shared" si="7"/>
        <v>2003.7159999999999</v>
      </c>
      <c r="J504" s="78">
        <v>13292</v>
      </c>
      <c r="K504" s="78" t="s">
        <v>173</v>
      </c>
      <c r="L504" s="78">
        <v>2003.7159999999999</v>
      </c>
    </row>
    <row r="505" spans="1:12">
      <c r="A505" s="77">
        <v>39983</v>
      </c>
      <c r="B505" s="77">
        <v>13293</v>
      </c>
      <c r="C505" s="77" t="s">
        <v>180</v>
      </c>
      <c r="D505" s="77">
        <v>2</v>
      </c>
      <c r="E505" s="77">
        <v>1</v>
      </c>
      <c r="F505" s="79">
        <f t="shared" si="7"/>
        <v>1188.027</v>
      </c>
      <c r="J505" s="78">
        <v>13293</v>
      </c>
      <c r="K505" s="78" t="s">
        <v>172</v>
      </c>
      <c r="L505" s="78">
        <v>1188.027</v>
      </c>
    </row>
    <row r="506" spans="1:12">
      <c r="A506" s="77">
        <v>161475</v>
      </c>
      <c r="B506" s="77">
        <v>13303</v>
      </c>
      <c r="C506" s="77" t="s">
        <v>180</v>
      </c>
      <c r="D506" s="77">
        <v>2.25</v>
      </c>
      <c r="E506" s="77">
        <v>1</v>
      </c>
      <c r="F506" s="79">
        <f t="shared" si="7"/>
        <v>2003.7159999999999</v>
      </c>
      <c r="J506" s="78">
        <v>13303</v>
      </c>
      <c r="K506" s="78" t="s">
        <v>173</v>
      </c>
      <c r="L506" s="78">
        <v>2003.7159999999999</v>
      </c>
    </row>
    <row r="507" spans="1:12">
      <c r="A507" s="77">
        <v>823336</v>
      </c>
      <c r="B507" s="77">
        <v>13310</v>
      </c>
      <c r="C507" s="77" t="s">
        <v>180</v>
      </c>
      <c r="D507" s="77">
        <v>2</v>
      </c>
      <c r="E507" s="77">
        <v>1</v>
      </c>
      <c r="F507" s="79">
        <f t="shared" si="7"/>
        <v>2003.7159999999999</v>
      </c>
      <c r="J507" s="78">
        <v>13310</v>
      </c>
      <c r="K507" s="78" t="s">
        <v>173</v>
      </c>
      <c r="L507" s="78">
        <v>2003.7159999999999</v>
      </c>
    </row>
    <row r="508" spans="1:12">
      <c r="A508" s="77">
        <v>100507</v>
      </c>
      <c r="B508" s="77">
        <v>13315</v>
      </c>
      <c r="C508" s="77" t="s">
        <v>180</v>
      </c>
      <c r="D508" s="77">
        <v>1.5</v>
      </c>
      <c r="E508" s="77">
        <v>1</v>
      </c>
      <c r="F508" s="79">
        <f t="shared" si="7"/>
        <v>4956.4930000000004</v>
      </c>
      <c r="J508" s="78">
        <v>13315</v>
      </c>
      <c r="K508" s="78" t="s">
        <v>173</v>
      </c>
      <c r="L508" s="78">
        <v>4956.4930000000004</v>
      </c>
    </row>
    <row r="509" spans="1:12">
      <c r="A509" s="77">
        <v>31680</v>
      </c>
      <c r="B509" s="77">
        <v>13319</v>
      </c>
      <c r="C509" s="77" t="s">
        <v>180</v>
      </c>
      <c r="D509" s="77">
        <v>0.75</v>
      </c>
      <c r="E509" s="77">
        <v>4</v>
      </c>
      <c r="F509" s="79">
        <f t="shared" si="7"/>
        <v>1150.8789999999999</v>
      </c>
      <c r="J509" s="78">
        <v>13319</v>
      </c>
      <c r="K509" s="78" t="s">
        <v>173</v>
      </c>
      <c r="L509" s="78">
        <v>1150.8789999999999</v>
      </c>
    </row>
    <row r="510" spans="1:12">
      <c r="A510" s="77">
        <v>93592</v>
      </c>
      <c r="B510" s="77">
        <v>13323</v>
      </c>
      <c r="C510" s="77" t="s">
        <v>180</v>
      </c>
      <c r="D510" s="77">
        <v>1.75</v>
      </c>
      <c r="E510" s="77">
        <v>3</v>
      </c>
      <c r="F510" s="79">
        <f t="shared" si="7"/>
        <v>1524.7619999999999</v>
      </c>
      <c r="J510" s="78">
        <v>13323</v>
      </c>
      <c r="K510" s="78" t="s">
        <v>173</v>
      </c>
      <c r="L510" s="78">
        <v>1524.7619999999999</v>
      </c>
    </row>
    <row r="511" spans="1:12">
      <c r="A511" s="77">
        <v>155424</v>
      </c>
      <c r="B511" s="77">
        <v>13327</v>
      </c>
      <c r="C511" s="77" t="s">
        <v>180</v>
      </c>
      <c r="D511" s="77">
        <v>2</v>
      </c>
      <c r="E511" s="77">
        <v>1</v>
      </c>
      <c r="F511" s="79">
        <f t="shared" si="7"/>
        <v>1464.694</v>
      </c>
      <c r="J511" s="78">
        <v>13327</v>
      </c>
      <c r="K511" s="78" t="s">
        <v>173</v>
      </c>
      <c r="L511" s="78">
        <v>1464.694</v>
      </c>
    </row>
    <row r="512" spans="1:12">
      <c r="A512" s="77">
        <v>86043</v>
      </c>
      <c r="B512" s="77">
        <v>13328</v>
      </c>
      <c r="C512" s="77" t="s">
        <v>180</v>
      </c>
      <c r="D512" s="77">
        <v>2.5</v>
      </c>
      <c r="E512" s="77">
        <v>1</v>
      </c>
      <c r="F512" s="79">
        <f t="shared" si="7"/>
        <v>2003.7159999999999</v>
      </c>
      <c r="J512" s="78">
        <v>13328</v>
      </c>
      <c r="K512" s="78" t="s">
        <v>173</v>
      </c>
      <c r="L512" s="78">
        <v>2003.7159999999999</v>
      </c>
    </row>
    <row r="513" spans="1:12">
      <c r="A513" s="77">
        <v>219055</v>
      </c>
      <c r="B513" s="77">
        <v>13336</v>
      </c>
      <c r="C513" s="77" t="s">
        <v>180</v>
      </c>
      <c r="D513" s="77">
        <v>4</v>
      </c>
      <c r="E513" s="77">
        <v>2</v>
      </c>
      <c r="F513" s="79">
        <f t="shared" si="7"/>
        <v>6932.7380000000003</v>
      </c>
      <c r="J513" s="78">
        <v>13336</v>
      </c>
      <c r="K513" s="78" t="s">
        <v>172</v>
      </c>
      <c r="L513" s="78">
        <v>6932.7380000000003</v>
      </c>
    </row>
    <row r="514" spans="1:12">
      <c r="A514" s="77">
        <v>72317</v>
      </c>
      <c r="B514" s="77">
        <v>13347</v>
      </c>
      <c r="C514" s="77" t="s">
        <v>180</v>
      </c>
      <c r="D514" s="77">
        <v>2.25</v>
      </c>
      <c r="E514" s="77">
        <v>2</v>
      </c>
      <c r="F514" s="79">
        <f t="shared" si="7"/>
        <v>2003.7159999999999</v>
      </c>
      <c r="J514" s="78">
        <v>13347</v>
      </c>
      <c r="K514" s="78" t="s">
        <v>173</v>
      </c>
      <c r="L514" s="78">
        <v>2003.7159999999999</v>
      </c>
    </row>
    <row r="515" spans="1:12">
      <c r="A515" s="77">
        <v>229356</v>
      </c>
      <c r="B515" s="77">
        <v>13359</v>
      </c>
      <c r="C515" s="77" t="s">
        <v>180</v>
      </c>
      <c r="D515" s="77">
        <v>2.2000000000000002</v>
      </c>
      <c r="E515" s="77">
        <v>1</v>
      </c>
      <c r="F515" s="79">
        <f t="shared" ref="F515:F578" si="8">VLOOKUP(B515,$J$2:$L$1405,3,FALSE)</f>
        <v>1150.8789999999999</v>
      </c>
      <c r="J515" s="78">
        <v>13359</v>
      </c>
      <c r="K515" s="78" t="s">
        <v>173</v>
      </c>
      <c r="L515" s="78">
        <v>1150.8789999999999</v>
      </c>
    </row>
    <row r="516" spans="1:12">
      <c r="A516" s="77">
        <v>232931</v>
      </c>
      <c r="B516" s="77">
        <v>13365</v>
      </c>
      <c r="C516" s="77" t="s">
        <v>180</v>
      </c>
      <c r="D516" s="77">
        <v>2</v>
      </c>
      <c r="E516" s="77">
        <v>2</v>
      </c>
      <c r="F516" s="79">
        <f t="shared" si="8"/>
        <v>4956.4930000000004</v>
      </c>
      <c r="J516" s="78">
        <v>13365</v>
      </c>
      <c r="K516" s="78" t="s">
        <v>173</v>
      </c>
      <c r="L516" s="78">
        <v>4956.4930000000004</v>
      </c>
    </row>
    <row r="517" spans="1:12">
      <c r="A517" s="77">
        <v>195624</v>
      </c>
      <c r="B517" s="77">
        <v>13400</v>
      </c>
      <c r="C517" s="77" t="s">
        <v>180</v>
      </c>
      <c r="D517" s="77">
        <v>2</v>
      </c>
      <c r="E517" s="77">
        <v>2</v>
      </c>
      <c r="F517" s="79">
        <f t="shared" si="8"/>
        <v>6932.7380000000003</v>
      </c>
      <c r="J517" s="78">
        <v>13400</v>
      </c>
      <c r="K517" s="78" t="s">
        <v>172</v>
      </c>
      <c r="L517" s="78">
        <v>6932.7380000000003</v>
      </c>
    </row>
    <row r="518" spans="1:12">
      <c r="A518" s="77">
        <v>130296</v>
      </c>
      <c r="B518" s="77">
        <v>13401</v>
      </c>
      <c r="C518" s="77" t="s">
        <v>180</v>
      </c>
      <c r="D518" s="77">
        <v>3.5</v>
      </c>
      <c r="E518" s="77">
        <v>1</v>
      </c>
      <c r="F518" s="79">
        <f t="shared" si="8"/>
        <v>4956.4930000000004</v>
      </c>
      <c r="J518" s="78">
        <v>13401</v>
      </c>
      <c r="K518" s="78" t="s">
        <v>173</v>
      </c>
      <c r="L518" s="78">
        <v>4956.4930000000004</v>
      </c>
    </row>
    <row r="519" spans="1:12">
      <c r="A519" s="77">
        <v>211379</v>
      </c>
      <c r="B519" s="77">
        <v>13420</v>
      </c>
      <c r="C519" s="77" t="s">
        <v>180</v>
      </c>
      <c r="D519" s="77">
        <v>2</v>
      </c>
      <c r="E519" s="77">
        <v>2</v>
      </c>
      <c r="F519" s="79">
        <f t="shared" si="8"/>
        <v>4956.4930000000004</v>
      </c>
      <c r="J519" s="78">
        <v>13420</v>
      </c>
      <c r="K519" s="78" t="s">
        <v>173</v>
      </c>
      <c r="L519" s="78">
        <v>4956.4930000000004</v>
      </c>
    </row>
    <row r="520" spans="1:12">
      <c r="A520" s="77">
        <v>50965</v>
      </c>
      <c r="B520" s="77">
        <v>13426</v>
      </c>
      <c r="C520" s="77" t="s">
        <v>180</v>
      </c>
      <c r="D520" s="77">
        <v>1.75</v>
      </c>
      <c r="E520" s="77">
        <v>2</v>
      </c>
      <c r="F520" s="79">
        <f t="shared" si="8"/>
        <v>1188.027</v>
      </c>
      <c r="J520" s="78">
        <v>13426</v>
      </c>
      <c r="K520" s="78" t="s">
        <v>172</v>
      </c>
      <c r="L520" s="78">
        <v>1188.027</v>
      </c>
    </row>
    <row r="521" spans="1:12">
      <c r="A521" s="77">
        <v>156333</v>
      </c>
      <c r="B521" s="77">
        <v>13427</v>
      </c>
      <c r="C521" s="77" t="s">
        <v>180</v>
      </c>
      <c r="D521" s="77">
        <v>1.5</v>
      </c>
      <c r="E521" s="77">
        <v>3</v>
      </c>
      <c r="F521" s="79">
        <f t="shared" si="8"/>
        <v>4956.4930000000004</v>
      </c>
      <c r="J521" s="78">
        <v>13427</v>
      </c>
      <c r="K521" s="78" t="s">
        <v>173</v>
      </c>
      <c r="L521" s="78">
        <v>4956.4930000000004</v>
      </c>
    </row>
    <row r="522" spans="1:12">
      <c r="A522" s="77">
        <v>212601</v>
      </c>
      <c r="B522" s="77">
        <v>13435</v>
      </c>
      <c r="C522" s="77" t="s">
        <v>180</v>
      </c>
      <c r="D522" s="77">
        <v>2.5</v>
      </c>
      <c r="E522" s="77">
        <v>3</v>
      </c>
      <c r="F522" s="79">
        <f t="shared" si="8"/>
        <v>1464.694</v>
      </c>
      <c r="J522" s="78">
        <v>13435</v>
      </c>
      <c r="K522" s="78" t="s">
        <v>173</v>
      </c>
      <c r="L522" s="78">
        <v>1464.694</v>
      </c>
    </row>
    <row r="523" spans="1:12">
      <c r="A523" s="77">
        <v>681001</v>
      </c>
      <c r="B523" s="77">
        <v>13445</v>
      </c>
      <c r="C523" s="77" t="s">
        <v>186</v>
      </c>
      <c r="D523" s="77">
        <v>1.25</v>
      </c>
      <c r="E523" s="77">
        <v>3</v>
      </c>
      <c r="F523" s="79">
        <f t="shared" si="8"/>
        <v>4956.4930000000004</v>
      </c>
      <c r="J523" s="78">
        <v>13445</v>
      </c>
      <c r="K523" s="78" t="s">
        <v>173</v>
      </c>
      <c r="L523" s="78">
        <v>4956.4930000000004</v>
      </c>
    </row>
    <row r="524" spans="1:12">
      <c r="A524" s="77">
        <v>33212</v>
      </c>
      <c r="B524" s="77">
        <v>13451</v>
      </c>
      <c r="C524" s="77" t="s">
        <v>180</v>
      </c>
      <c r="D524" s="77">
        <v>1</v>
      </c>
      <c r="E524" s="77">
        <v>1</v>
      </c>
      <c r="F524" s="79">
        <f t="shared" si="8"/>
        <v>1150.8789999999999</v>
      </c>
      <c r="J524" s="78">
        <v>13451</v>
      </c>
      <c r="K524" s="78" t="s">
        <v>173</v>
      </c>
      <c r="L524" s="78">
        <v>1150.8789999999999</v>
      </c>
    </row>
    <row r="525" spans="1:12">
      <c r="A525" s="77">
        <v>100323</v>
      </c>
      <c r="B525" s="77">
        <v>13453</v>
      </c>
      <c r="C525" s="77" t="s">
        <v>180</v>
      </c>
      <c r="D525" s="77">
        <v>2.125</v>
      </c>
      <c r="E525" s="77">
        <v>2</v>
      </c>
      <c r="F525" s="79">
        <f t="shared" si="8"/>
        <v>4956.4930000000004</v>
      </c>
      <c r="J525" s="78">
        <v>13453</v>
      </c>
      <c r="K525" s="78" t="s">
        <v>173</v>
      </c>
      <c r="L525" s="78">
        <v>4956.4930000000004</v>
      </c>
    </row>
    <row r="526" spans="1:12">
      <c r="A526" s="77">
        <v>91407</v>
      </c>
      <c r="B526" s="77">
        <v>13455</v>
      </c>
      <c r="C526" s="77" t="s">
        <v>180</v>
      </c>
      <c r="D526" s="77">
        <v>5</v>
      </c>
      <c r="E526" s="77">
        <v>2</v>
      </c>
      <c r="F526" s="79">
        <f t="shared" si="8"/>
        <v>2003.7159999999999</v>
      </c>
      <c r="J526" s="78">
        <v>13455</v>
      </c>
      <c r="K526" s="78" t="s">
        <v>173</v>
      </c>
      <c r="L526" s="78">
        <v>2003.7159999999999</v>
      </c>
    </row>
    <row r="527" spans="1:12">
      <c r="A527" s="77">
        <v>122285</v>
      </c>
      <c r="B527" s="77">
        <v>13462</v>
      </c>
      <c r="C527" s="77" t="s">
        <v>180</v>
      </c>
      <c r="D527" s="77">
        <v>1.75</v>
      </c>
      <c r="E527" s="77">
        <v>2</v>
      </c>
      <c r="F527" s="79">
        <f t="shared" si="8"/>
        <v>1464.694</v>
      </c>
      <c r="J527" s="78">
        <v>13462</v>
      </c>
      <c r="K527" s="78" t="s">
        <v>173</v>
      </c>
      <c r="L527" s="78">
        <v>1464.694</v>
      </c>
    </row>
    <row r="528" spans="1:12">
      <c r="A528" s="77">
        <v>724428</v>
      </c>
      <c r="B528" s="77">
        <v>13474</v>
      </c>
      <c r="C528" s="77" t="s">
        <v>180</v>
      </c>
      <c r="D528" s="77">
        <v>2.25</v>
      </c>
      <c r="E528" s="77">
        <v>2</v>
      </c>
      <c r="F528" s="79">
        <f t="shared" si="8"/>
        <v>1524.7619999999999</v>
      </c>
      <c r="J528" s="78">
        <v>13474</v>
      </c>
      <c r="K528" s="78" t="s">
        <v>173</v>
      </c>
      <c r="L528" s="78">
        <v>1524.7619999999999</v>
      </c>
    </row>
    <row r="529" spans="1:12">
      <c r="A529" s="77">
        <v>192513</v>
      </c>
      <c r="B529" s="77">
        <v>13490</v>
      </c>
      <c r="C529" s="77" t="s">
        <v>180</v>
      </c>
      <c r="D529" s="77">
        <v>2.5</v>
      </c>
      <c r="E529" s="77">
        <v>1</v>
      </c>
      <c r="F529" s="79">
        <f t="shared" si="8"/>
        <v>1464.694</v>
      </c>
      <c r="J529" s="78">
        <v>13490</v>
      </c>
      <c r="K529" s="78" t="s">
        <v>173</v>
      </c>
      <c r="L529" s="78">
        <v>1464.694</v>
      </c>
    </row>
    <row r="530" spans="1:12">
      <c r="A530" s="77">
        <v>718804</v>
      </c>
      <c r="B530" s="77">
        <v>13494</v>
      </c>
      <c r="C530" s="77" t="s">
        <v>180</v>
      </c>
      <c r="D530" s="77">
        <v>2.5</v>
      </c>
      <c r="E530" s="77">
        <v>3</v>
      </c>
      <c r="F530" s="79">
        <f t="shared" si="8"/>
        <v>2003.7159999999999</v>
      </c>
      <c r="J530" s="78">
        <v>13494</v>
      </c>
      <c r="K530" s="78" t="s">
        <v>173</v>
      </c>
      <c r="L530" s="78">
        <v>2003.7159999999999</v>
      </c>
    </row>
    <row r="531" spans="1:12">
      <c r="A531" s="77">
        <v>209711</v>
      </c>
      <c r="B531" s="77">
        <v>13495</v>
      </c>
      <c r="C531" s="77" t="s">
        <v>180</v>
      </c>
      <c r="D531" s="77">
        <v>1.75</v>
      </c>
      <c r="E531" s="77">
        <v>3</v>
      </c>
      <c r="F531" s="79">
        <f t="shared" si="8"/>
        <v>1464.694</v>
      </c>
      <c r="J531" s="78">
        <v>13495</v>
      </c>
      <c r="K531" s="78" t="s">
        <v>173</v>
      </c>
      <c r="L531" s="78">
        <v>1464.694</v>
      </c>
    </row>
    <row r="532" spans="1:12">
      <c r="A532" s="77">
        <v>115949</v>
      </c>
      <c r="B532" s="77">
        <v>13505</v>
      </c>
      <c r="C532" s="77" t="s">
        <v>180</v>
      </c>
      <c r="D532" s="77">
        <v>1.75</v>
      </c>
      <c r="E532" s="77">
        <v>1</v>
      </c>
      <c r="F532" s="79">
        <f t="shared" si="8"/>
        <v>1464.694</v>
      </c>
      <c r="J532" s="78">
        <v>13505</v>
      </c>
      <c r="K532" s="78" t="s">
        <v>173</v>
      </c>
      <c r="L532" s="78">
        <v>1464.694</v>
      </c>
    </row>
    <row r="533" spans="1:12">
      <c r="A533" s="77">
        <v>115868</v>
      </c>
      <c r="B533" s="77">
        <v>13514</v>
      </c>
      <c r="C533" s="77" t="s">
        <v>180</v>
      </c>
      <c r="D533" s="77">
        <v>2</v>
      </c>
      <c r="E533" s="77">
        <v>1</v>
      </c>
      <c r="F533" s="79">
        <f t="shared" si="8"/>
        <v>4956.4930000000004</v>
      </c>
      <c r="J533" s="78">
        <v>13507</v>
      </c>
      <c r="K533" s="78" t="s">
        <v>173</v>
      </c>
      <c r="L533" s="78">
        <v>4956.4930000000004</v>
      </c>
    </row>
    <row r="534" spans="1:12">
      <c r="A534" s="77">
        <v>197879</v>
      </c>
      <c r="B534" s="77">
        <v>13554</v>
      </c>
      <c r="C534" s="77" t="s">
        <v>180</v>
      </c>
      <c r="D534" s="77">
        <v>1.25</v>
      </c>
      <c r="E534" s="77">
        <v>3</v>
      </c>
      <c r="F534" s="79">
        <f t="shared" si="8"/>
        <v>4956.4930000000004</v>
      </c>
      <c r="J534" s="78">
        <v>13514</v>
      </c>
      <c r="K534" s="78" t="s">
        <v>173</v>
      </c>
      <c r="L534" s="78">
        <v>4956.4930000000004</v>
      </c>
    </row>
    <row r="535" spans="1:12">
      <c r="A535" s="77">
        <v>197112</v>
      </c>
      <c r="B535" s="77">
        <v>13621</v>
      </c>
      <c r="C535" s="77" t="s">
        <v>180</v>
      </c>
      <c r="D535" s="77">
        <v>2.5</v>
      </c>
      <c r="E535" s="77">
        <v>1</v>
      </c>
      <c r="F535" s="79">
        <f t="shared" si="8"/>
        <v>1464.694</v>
      </c>
      <c r="J535" s="78">
        <v>13554</v>
      </c>
      <c r="K535" s="78" t="s">
        <v>173</v>
      </c>
      <c r="L535" s="78">
        <v>4956.4930000000004</v>
      </c>
    </row>
    <row r="536" spans="1:12">
      <c r="A536" s="77">
        <v>94891</v>
      </c>
      <c r="B536" s="77">
        <v>13643</v>
      </c>
      <c r="C536" s="77" t="s">
        <v>180</v>
      </c>
      <c r="D536" s="77">
        <v>1.5</v>
      </c>
      <c r="E536" s="77">
        <v>2</v>
      </c>
      <c r="F536" s="79">
        <f t="shared" si="8"/>
        <v>2003.7159999999999</v>
      </c>
      <c r="J536" s="78">
        <v>13621</v>
      </c>
      <c r="K536" s="78" t="s">
        <v>173</v>
      </c>
      <c r="L536" s="78">
        <v>1464.694</v>
      </c>
    </row>
    <row r="537" spans="1:12">
      <c r="A537" s="77">
        <v>195385</v>
      </c>
      <c r="B537" s="77">
        <v>13655</v>
      </c>
      <c r="C537" s="77" t="s">
        <v>180</v>
      </c>
      <c r="D537" s="77">
        <v>2.5</v>
      </c>
      <c r="E537" s="77">
        <v>1</v>
      </c>
      <c r="F537" s="79">
        <f t="shared" si="8"/>
        <v>1464.694</v>
      </c>
      <c r="J537" s="78">
        <v>13643</v>
      </c>
      <c r="K537" s="78" t="s">
        <v>173</v>
      </c>
      <c r="L537" s="78">
        <v>2003.7159999999999</v>
      </c>
    </row>
    <row r="538" spans="1:12">
      <c r="A538" s="77">
        <v>682066</v>
      </c>
      <c r="B538" s="77">
        <v>13656</v>
      </c>
      <c r="C538" s="77" t="s">
        <v>187</v>
      </c>
      <c r="D538" s="77">
        <v>2.5</v>
      </c>
      <c r="E538" s="77">
        <v>3</v>
      </c>
      <c r="F538" s="79">
        <f t="shared" si="8"/>
        <v>1524.7619999999999</v>
      </c>
      <c r="J538" s="78">
        <v>13655</v>
      </c>
      <c r="K538" s="78" t="s">
        <v>173</v>
      </c>
      <c r="L538" s="78">
        <v>1464.694</v>
      </c>
    </row>
    <row r="539" spans="1:12">
      <c r="A539" s="77">
        <v>199455</v>
      </c>
      <c r="B539" s="77">
        <v>13672</v>
      </c>
      <c r="C539" s="77" t="s">
        <v>180</v>
      </c>
      <c r="D539" s="77">
        <v>1.8</v>
      </c>
      <c r="E539" s="77">
        <v>2</v>
      </c>
      <c r="F539" s="79">
        <f t="shared" si="8"/>
        <v>1188.027</v>
      </c>
      <c r="J539" s="78">
        <v>13656</v>
      </c>
      <c r="K539" s="78" t="s">
        <v>173</v>
      </c>
      <c r="L539" s="78">
        <v>1524.7619999999999</v>
      </c>
    </row>
    <row r="540" spans="1:12">
      <c r="A540" s="77">
        <v>85929</v>
      </c>
      <c r="B540" s="77">
        <v>13678</v>
      </c>
      <c r="C540" s="77" t="s">
        <v>180</v>
      </c>
      <c r="D540" s="77">
        <v>2.25</v>
      </c>
      <c r="E540" s="77">
        <v>1</v>
      </c>
      <c r="F540" s="79">
        <f t="shared" si="8"/>
        <v>2003.7159999999999</v>
      </c>
      <c r="J540" s="78">
        <v>13672</v>
      </c>
      <c r="K540" s="78" t="s">
        <v>172</v>
      </c>
      <c r="L540" s="78">
        <v>1188.027</v>
      </c>
    </row>
    <row r="541" spans="1:12">
      <c r="A541" s="77">
        <v>210747</v>
      </c>
      <c r="B541" s="77">
        <v>13691</v>
      </c>
      <c r="C541" s="77" t="s">
        <v>180</v>
      </c>
      <c r="D541" s="77">
        <v>5</v>
      </c>
      <c r="E541" s="77">
        <v>2</v>
      </c>
      <c r="F541" s="79">
        <f t="shared" si="8"/>
        <v>6932.7380000000003</v>
      </c>
      <c r="J541" s="78">
        <v>13678</v>
      </c>
      <c r="K541" s="78" t="s">
        <v>173</v>
      </c>
      <c r="L541" s="78">
        <v>2003.7159999999999</v>
      </c>
    </row>
    <row r="542" spans="1:12">
      <c r="A542" s="77">
        <v>45531</v>
      </c>
      <c r="B542" s="77">
        <v>13713</v>
      </c>
      <c r="C542" s="77" t="s">
        <v>188</v>
      </c>
      <c r="D542" s="77">
        <v>7</v>
      </c>
      <c r="E542" s="77">
        <v>1</v>
      </c>
      <c r="F542" s="79">
        <f t="shared" si="8"/>
        <v>1150.8789999999999</v>
      </c>
      <c r="J542" s="78">
        <v>13691</v>
      </c>
      <c r="K542" s="78" t="s">
        <v>172</v>
      </c>
      <c r="L542" s="78">
        <v>6932.7380000000003</v>
      </c>
    </row>
    <row r="543" spans="1:12">
      <c r="A543" s="77">
        <v>43538</v>
      </c>
      <c r="B543" s="77">
        <v>13746</v>
      </c>
      <c r="C543" s="77" t="s">
        <v>180</v>
      </c>
      <c r="D543" s="77">
        <v>2.5</v>
      </c>
      <c r="E543" s="77">
        <v>1</v>
      </c>
      <c r="F543" s="79">
        <f t="shared" si="8"/>
        <v>1188.027</v>
      </c>
      <c r="J543" s="78">
        <v>13713</v>
      </c>
      <c r="K543" s="78" t="s">
        <v>173</v>
      </c>
      <c r="L543" s="78">
        <v>1150.8789999999999</v>
      </c>
    </row>
    <row r="544" spans="1:12">
      <c r="A544" s="77">
        <v>84545</v>
      </c>
      <c r="B544" s="77">
        <v>13752</v>
      </c>
      <c r="C544" s="77" t="s">
        <v>180</v>
      </c>
      <c r="D544" s="77">
        <v>2.25</v>
      </c>
      <c r="E544" s="77">
        <v>2</v>
      </c>
      <c r="F544" s="79">
        <f t="shared" si="8"/>
        <v>2003.7159999999999</v>
      </c>
      <c r="J544" s="78">
        <v>13746</v>
      </c>
      <c r="K544" s="78" t="s">
        <v>172</v>
      </c>
      <c r="L544" s="78">
        <v>1188.027</v>
      </c>
    </row>
    <row r="545" spans="1:12">
      <c r="A545" s="77">
        <v>36324</v>
      </c>
      <c r="B545" s="77">
        <v>13756</v>
      </c>
      <c r="C545" s="77" t="s">
        <v>180</v>
      </c>
      <c r="D545" s="77">
        <v>1.5</v>
      </c>
      <c r="E545" s="77">
        <v>3</v>
      </c>
      <c r="F545" s="79">
        <f t="shared" si="8"/>
        <v>1188.027</v>
      </c>
      <c r="J545" s="78">
        <v>13752</v>
      </c>
      <c r="K545" s="78" t="s">
        <v>173</v>
      </c>
      <c r="L545" s="78">
        <v>2003.7159999999999</v>
      </c>
    </row>
    <row r="546" spans="1:12">
      <c r="A546" s="77">
        <v>238610</v>
      </c>
      <c r="B546" s="77">
        <v>13785</v>
      </c>
      <c r="C546" s="77" t="s">
        <v>180</v>
      </c>
      <c r="D546" s="77">
        <v>1.9</v>
      </c>
      <c r="E546" s="77">
        <v>1</v>
      </c>
      <c r="F546" s="79">
        <f t="shared" si="8"/>
        <v>1150.8789999999999</v>
      </c>
      <c r="J546" s="78">
        <v>13756</v>
      </c>
      <c r="K546" s="78" t="s">
        <v>172</v>
      </c>
      <c r="L546" s="78">
        <v>1188.027</v>
      </c>
    </row>
    <row r="547" spans="1:12">
      <c r="A547" s="77">
        <v>109607</v>
      </c>
      <c r="B547" s="77">
        <v>13803</v>
      </c>
      <c r="C547" s="77" t="s">
        <v>180</v>
      </c>
      <c r="D547" s="77">
        <v>2.5</v>
      </c>
      <c r="E547" s="77">
        <v>2</v>
      </c>
      <c r="F547" s="79">
        <f t="shared" si="8"/>
        <v>2003.7159999999999</v>
      </c>
      <c r="J547" s="78">
        <v>13785</v>
      </c>
      <c r="K547" s="78" t="s">
        <v>173</v>
      </c>
      <c r="L547" s="78">
        <v>1150.8789999999999</v>
      </c>
    </row>
    <row r="548" spans="1:12">
      <c r="A548" s="77">
        <v>36473</v>
      </c>
      <c r="B548" s="77">
        <v>13817</v>
      </c>
      <c r="C548" s="77" t="s">
        <v>180</v>
      </c>
      <c r="D548" s="77">
        <v>2.5</v>
      </c>
      <c r="E548" s="77">
        <v>2</v>
      </c>
      <c r="F548" s="79">
        <f t="shared" si="8"/>
        <v>1188.027</v>
      </c>
      <c r="J548" s="78">
        <v>13803</v>
      </c>
      <c r="K548" s="78" t="s">
        <v>173</v>
      </c>
      <c r="L548" s="78">
        <v>2003.7159999999999</v>
      </c>
    </row>
    <row r="549" spans="1:12">
      <c r="A549" s="77">
        <v>199596</v>
      </c>
      <c r="B549" s="77">
        <v>13829</v>
      </c>
      <c r="C549" s="77" t="s">
        <v>180</v>
      </c>
      <c r="D549" s="77">
        <v>2.5</v>
      </c>
      <c r="E549" s="77">
        <v>2</v>
      </c>
      <c r="F549" s="79">
        <f t="shared" si="8"/>
        <v>1464.694</v>
      </c>
      <c r="J549" s="78">
        <v>13817</v>
      </c>
      <c r="K549" s="78" t="s">
        <v>172</v>
      </c>
      <c r="L549" s="78">
        <v>1188.027</v>
      </c>
    </row>
    <row r="550" spans="1:12">
      <c r="A550" s="77">
        <v>197033</v>
      </c>
      <c r="B550" s="77">
        <v>13863</v>
      </c>
      <c r="C550" s="77" t="s">
        <v>180</v>
      </c>
      <c r="D550" s="77">
        <v>2.5</v>
      </c>
      <c r="E550" s="77">
        <v>1</v>
      </c>
      <c r="F550" s="79">
        <f t="shared" si="8"/>
        <v>1464.694</v>
      </c>
      <c r="J550" s="78">
        <v>13829</v>
      </c>
      <c r="K550" s="78" t="s">
        <v>173</v>
      </c>
      <c r="L550" s="78">
        <v>1464.694</v>
      </c>
    </row>
    <row r="551" spans="1:12">
      <c r="A551" s="77">
        <v>223381</v>
      </c>
      <c r="B551" s="77">
        <v>13867</v>
      </c>
      <c r="C551" s="77" t="s">
        <v>180</v>
      </c>
      <c r="D551" s="77">
        <v>2.5</v>
      </c>
      <c r="E551" s="77">
        <v>2</v>
      </c>
      <c r="F551" s="79">
        <f t="shared" si="8"/>
        <v>1464.694</v>
      </c>
      <c r="J551" s="78">
        <v>13863</v>
      </c>
      <c r="K551" s="78" t="s">
        <v>173</v>
      </c>
      <c r="L551" s="78">
        <v>1464.694</v>
      </c>
    </row>
    <row r="552" spans="1:12">
      <c r="A552" s="77">
        <v>29163</v>
      </c>
      <c r="B552" s="77">
        <v>13871</v>
      </c>
      <c r="C552" s="77" t="s">
        <v>180</v>
      </c>
      <c r="D552" s="77">
        <v>1</v>
      </c>
      <c r="E552" s="77">
        <v>3</v>
      </c>
      <c r="F552" s="79">
        <f t="shared" si="8"/>
        <v>1150.8789999999999</v>
      </c>
      <c r="J552" s="78">
        <v>13867</v>
      </c>
      <c r="K552" s="78" t="s">
        <v>173</v>
      </c>
      <c r="L552" s="78">
        <v>1464.694</v>
      </c>
    </row>
    <row r="553" spans="1:12">
      <c r="A553" s="77">
        <v>181870</v>
      </c>
      <c r="B553" s="77">
        <v>13880</v>
      </c>
      <c r="C553" s="77" t="s">
        <v>180</v>
      </c>
      <c r="D553" s="77">
        <v>1.75</v>
      </c>
      <c r="E553" s="77">
        <v>2</v>
      </c>
      <c r="F553" s="79">
        <f t="shared" si="8"/>
        <v>4956.4930000000004</v>
      </c>
      <c r="J553" s="78">
        <v>13871</v>
      </c>
      <c r="K553" s="78" t="s">
        <v>173</v>
      </c>
      <c r="L553" s="78">
        <v>1150.8789999999999</v>
      </c>
    </row>
    <row r="554" spans="1:12">
      <c r="A554" s="77">
        <v>182372</v>
      </c>
      <c r="B554" s="77">
        <v>13895</v>
      </c>
      <c r="C554" s="77" t="s">
        <v>180</v>
      </c>
      <c r="D554" s="77">
        <v>2</v>
      </c>
      <c r="E554" s="77">
        <v>1</v>
      </c>
      <c r="F554" s="79">
        <f t="shared" si="8"/>
        <v>1524.7619999999999</v>
      </c>
      <c r="J554" s="78">
        <v>13880</v>
      </c>
      <c r="K554" s="78" t="s">
        <v>173</v>
      </c>
      <c r="L554" s="78">
        <v>4956.4930000000004</v>
      </c>
    </row>
    <row r="555" spans="1:12">
      <c r="A555" s="77">
        <v>58936</v>
      </c>
      <c r="B555" s="77">
        <v>13898</v>
      </c>
      <c r="C555" s="77" t="s">
        <v>180</v>
      </c>
      <c r="D555" s="77">
        <v>3</v>
      </c>
      <c r="E555" s="77">
        <v>2</v>
      </c>
      <c r="F555" s="79">
        <f t="shared" si="8"/>
        <v>1188.027</v>
      </c>
      <c r="J555" s="78">
        <v>13895</v>
      </c>
      <c r="K555" s="78" t="s">
        <v>173</v>
      </c>
      <c r="L555" s="78">
        <v>1524.7619999999999</v>
      </c>
    </row>
    <row r="556" spans="1:12">
      <c r="A556" s="77">
        <v>659440</v>
      </c>
      <c r="B556" s="77">
        <v>13903</v>
      </c>
      <c r="C556" s="77" t="s">
        <v>180</v>
      </c>
      <c r="D556" s="77">
        <v>1.5</v>
      </c>
      <c r="E556" s="77">
        <v>3</v>
      </c>
      <c r="F556" s="79">
        <f t="shared" si="8"/>
        <v>6932.7380000000003</v>
      </c>
      <c r="J556" s="78">
        <v>13898</v>
      </c>
      <c r="K556" s="78" t="s">
        <v>172</v>
      </c>
      <c r="L556" s="78">
        <v>1188.027</v>
      </c>
    </row>
    <row r="557" spans="1:12">
      <c r="A557" s="77">
        <v>221796</v>
      </c>
      <c r="B557" s="77">
        <v>13912</v>
      </c>
      <c r="C557" s="77" t="s">
        <v>180</v>
      </c>
      <c r="D557" s="77">
        <v>3</v>
      </c>
      <c r="E557" s="77">
        <v>1</v>
      </c>
      <c r="F557" s="79">
        <f t="shared" si="8"/>
        <v>2003.7159999999999</v>
      </c>
      <c r="J557" s="78">
        <v>13903</v>
      </c>
      <c r="K557" s="78" t="s">
        <v>172</v>
      </c>
      <c r="L557" s="78">
        <v>6932.7380000000003</v>
      </c>
    </row>
    <row r="558" spans="1:12">
      <c r="A558" s="77">
        <v>198385</v>
      </c>
      <c r="B558" s="77">
        <v>13948</v>
      </c>
      <c r="C558" s="77" t="s">
        <v>180</v>
      </c>
      <c r="D558" s="77">
        <v>1.75</v>
      </c>
      <c r="E558" s="77">
        <v>2</v>
      </c>
      <c r="F558" s="79">
        <f t="shared" si="8"/>
        <v>1524.7619999999999</v>
      </c>
      <c r="J558" s="78">
        <v>13912</v>
      </c>
      <c r="K558" s="78" t="s">
        <v>173</v>
      </c>
      <c r="L558" s="78">
        <v>2003.7159999999999</v>
      </c>
    </row>
    <row r="559" spans="1:12">
      <c r="A559" s="77">
        <v>221475</v>
      </c>
      <c r="B559" s="77">
        <v>13956</v>
      </c>
      <c r="C559" s="77" t="s">
        <v>189</v>
      </c>
      <c r="E559" s="77">
        <v>2</v>
      </c>
      <c r="F559" s="79">
        <f t="shared" si="8"/>
        <v>1524.7619999999999</v>
      </c>
      <c r="J559" s="78">
        <v>13948</v>
      </c>
      <c r="K559" s="78" t="s">
        <v>173</v>
      </c>
      <c r="L559" s="78">
        <v>1524.7619999999999</v>
      </c>
    </row>
    <row r="560" spans="1:12">
      <c r="A560" s="77">
        <v>221285</v>
      </c>
      <c r="B560" s="77">
        <v>13970</v>
      </c>
      <c r="C560" s="77" t="s">
        <v>180</v>
      </c>
      <c r="D560" s="77">
        <v>1.75</v>
      </c>
      <c r="E560" s="77">
        <v>1</v>
      </c>
      <c r="F560" s="79">
        <f t="shared" si="8"/>
        <v>1524.7619999999999</v>
      </c>
      <c r="J560" s="78">
        <v>13956</v>
      </c>
      <c r="K560" s="78" t="s">
        <v>173</v>
      </c>
      <c r="L560" s="78">
        <v>1524.7619999999999</v>
      </c>
    </row>
    <row r="561" spans="1:12">
      <c r="A561" s="77">
        <v>221673</v>
      </c>
      <c r="B561" s="77">
        <v>13974</v>
      </c>
      <c r="C561" s="77" t="s">
        <v>190</v>
      </c>
      <c r="D561" s="77">
        <v>3</v>
      </c>
      <c r="E561" s="77">
        <v>2</v>
      </c>
      <c r="F561" s="79">
        <f t="shared" si="8"/>
        <v>2003.7159999999999</v>
      </c>
      <c r="J561" s="78">
        <v>13970</v>
      </c>
      <c r="K561" s="78" t="s">
        <v>173</v>
      </c>
      <c r="L561" s="78">
        <v>1524.7619999999999</v>
      </c>
    </row>
    <row r="562" spans="1:12">
      <c r="A562" s="77">
        <v>197605</v>
      </c>
      <c r="B562" s="77">
        <v>13975</v>
      </c>
      <c r="C562" s="77" t="s">
        <v>180</v>
      </c>
      <c r="D562" s="77">
        <v>2</v>
      </c>
      <c r="E562" s="77">
        <v>2</v>
      </c>
      <c r="F562" s="79">
        <f t="shared" si="8"/>
        <v>4956.4930000000004</v>
      </c>
      <c r="J562" s="78">
        <v>13974</v>
      </c>
      <c r="K562" s="78" t="s">
        <v>173</v>
      </c>
      <c r="L562" s="78">
        <v>2003.7159999999999</v>
      </c>
    </row>
    <row r="563" spans="1:12">
      <c r="A563" s="77">
        <v>165893</v>
      </c>
      <c r="B563" s="77">
        <v>14000</v>
      </c>
      <c r="C563" s="77" t="s">
        <v>180</v>
      </c>
      <c r="D563" s="77">
        <v>2.75</v>
      </c>
      <c r="E563" s="77">
        <v>1</v>
      </c>
      <c r="F563" s="79">
        <f t="shared" si="8"/>
        <v>1524.7619999999999</v>
      </c>
      <c r="J563" s="78">
        <v>13975</v>
      </c>
      <c r="K563" s="78" t="s">
        <v>173</v>
      </c>
      <c r="L563" s="78">
        <v>4956.4930000000004</v>
      </c>
    </row>
    <row r="564" spans="1:12">
      <c r="A564" s="77">
        <v>240611</v>
      </c>
      <c r="B564" s="77">
        <v>14012</v>
      </c>
      <c r="C564" s="77" t="s">
        <v>180</v>
      </c>
      <c r="D564" s="77">
        <v>1.75</v>
      </c>
      <c r="E564" s="77">
        <v>2</v>
      </c>
      <c r="F564" s="79">
        <f t="shared" si="8"/>
        <v>2003.7159999999999</v>
      </c>
      <c r="J564" s="78">
        <v>14000</v>
      </c>
      <c r="K564" s="78" t="s">
        <v>173</v>
      </c>
      <c r="L564" s="78">
        <v>1524.7619999999999</v>
      </c>
    </row>
    <row r="565" spans="1:12">
      <c r="A565" s="77">
        <v>182210</v>
      </c>
      <c r="B565" s="77">
        <v>14015</v>
      </c>
      <c r="C565" s="77" t="s">
        <v>180</v>
      </c>
      <c r="D565" s="77">
        <v>1.25</v>
      </c>
      <c r="E565" s="77">
        <v>2</v>
      </c>
      <c r="F565" s="79">
        <f t="shared" si="8"/>
        <v>4956.4930000000004</v>
      </c>
      <c r="J565" s="78">
        <v>14012</v>
      </c>
      <c r="K565" s="78" t="s">
        <v>173</v>
      </c>
      <c r="L565" s="78">
        <v>2003.7159999999999</v>
      </c>
    </row>
    <row r="566" spans="1:12">
      <c r="A566" s="77">
        <v>41063</v>
      </c>
      <c r="B566" s="77">
        <v>14017</v>
      </c>
      <c r="C566" s="77" t="s">
        <v>180</v>
      </c>
      <c r="D566" s="77">
        <v>2</v>
      </c>
      <c r="E566" s="77">
        <v>1</v>
      </c>
      <c r="F566" s="79">
        <f t="shared" si="8"/>
        <v>1188.027</v>
      </c>
      <c r="J566" s="78">
        <v>14015</v>
      </c>
      <c r="K566" s="78" t="s">
        <v>173</v>
      </c>
      <c r="L566" s="78">
        <v>4956.4930000000004</v>
      </c>
    </row>
    <row r="567" spans="1:12">
      <c r="A567" s="77">
        <v>185200</v>
      </c>
      <c r="B567" s="77">
        <v>14037</v>
      </c>
      <c r="C567" s="77" t="s">
        <v>180</v>
      </c>
      <c r="D567" s="77">
        <v>2</v>
      </c>
      <c r="E567" s="77">
        <v>2</v>
      </c>
      <c r="F567" s="79">
        <f t="shared" si="8"/>
        <v>1524.7619999999999</v>
      </c>
      <c r="J567" s="78">
        <v>14017</v>
      </c>
      <c r="K567" s="78" t="s">
        <v>172</v>
      </c>
      <c r="L567" s="78">
        <v>1188.027</v>
      </c>
    </row>
    <row r="568" spans="1:12">
      <c r="A568" s="77">
        <v>206361</v>
      </c>
      <c r="B568" s="77">
        <v>14046</v>
      </c>
      <c r="C568" s="77" t="s">
        <v>180</v>
      </c>
      <c r="D568" s="77">
        <v>2</v>
      </c>
      <c r="E568" s="77">
        <v>1</v>
      </c>
      <c r="F568" s="79">
        <f t="shared" si="8"/>
        <v>1464.694</v>
      </c>
      <c r="J568" s="78">
        <v>14037</v>
      </c>
      <c r="K568" s="78" t="s">
        <v>173</v>
      </c>
      <c r="L568" s="78">
        <v>1524.7619999999999</v>
      </c>
    </row>
    <row r="569" spans="1:12">
      <c r="A569" s="77">
        <v>96069</v>
      </c>
      <c r="B569" s="77">
        <v>14051</v>
      </c>
      <c r="C569" s="77" t="s">
        <v>180</v>
      </c>
      <c r="D569" s="77">
        <v>1.5</v>
      </c>
      <c r="E569" s="77">
        <v>3</v>
      </c>
      <c r="F569" s="79">
        <f t="shared" si="8"/>
        <v>1188.027</v>
      </c>
      <c r="J569" s="78">
        <v>14046</v>
      </c>
      <c r="K569" s="78" t="s">
        <v>173</v>
      </c>
      <c r="L569" s="78">
        <v>1464.694</v>
      </c>
    </row>
    <row r="570" spans="1:12">
      <c r="A570" s="77">
        <v>44967</v>
      </c>
      <c r="B570" s="77">
        <v>14052</v>
      </c>
      <c r="C570" s="77" t="s">
        <v>180</v>
      </c>
      <c r="D570" s="77">
        <v>1</v>
      </c>
      <c r="E570" s="77">
        <v>2</v>
      </c>
      <c r="F570" s="79">
        <f t="shared" si="8"/>
        <v>1188.027</v>
      </c>
      <c r="J570" s="78">
        <v>14051</v>
      </c>
      <c r="K570" s="78" t="s">
        <v>172</v>
      </c>
      <c r="L570" s="78">
        <v>1188.027</v>
      </c>
    </row>
    <row r="571" spans="1:12">
      <c r="A571" s="77">
        <v>659967</v>
      </c>
      <c r="B571" s="77">
        <v>14073</v>
      </c>
      <c r="C571" s="77" t="s">
        <v>180</v>
      </c>
      <c r="D571" s="77">
        <v>3</v>
      </c>
      <c r="E571" s="77">
        <v>3</v>
      </c>
      <c r="F571" s="79">
        <f t="shared" si="8"/>
        <v>2003.7159999999999</v>
      </c>
      <c r="J571" s="78">
        <v>14052</v>
      </c>
      <c r="K571" s="78" t="s">
        <v>172</v>
      </c>
      <c r="L571" s="78">
        <v>1188.027</v>
      </c>
    </row>
    <row r="572" spans="1:12">
      <c r="A572" s="77">
        <v>27800</v>
      </c>
      <c r="B572" s="77">
        <v>14078</v>
      </c>
      <c r="C572" s="77" t="s">
        <v>180</v>
      </c>
      <c r="D572" s="77">
        <v>2</v>
      </c>
      <c r="E572" s="77">
        <v>2</v>
      </c>
      <c r="F572" s="79">
        <f t="shared" si="8"/>
        <v>1150.8789999999999</v>
      </c>
      <c r="J572" s="78">
        <v>14073</v>
      </c>
      <c r="K572" s="78" t="s">
        <v>173</v>
      </c>
      <c r="L572" s="78">
        <v>2003.7159999999999</v>
      </c>
    </row>
    <row r="573" spans="1:12">
      <c r="A573" s="77">
        <v>198229</v>
      </c>
      <c r="B573" s="77">
        <v>14102</v>
      </c>
      <c r="C573" s="77" t="s">
        <v>180</v>
      </c>
      <c r="D573" s="77">
        <v>2.75</v>
      </c>
      <c r="E573" s="77">
        <v>3</v>
      </c>
      <c r="F573" s="79">
        <f t="shared" si="8"/>
        <v>4956.4930000000004</v>
      </c>
      <c r="J573" s="78">
        <v>14078</v>
      </c>
      <c r="K573" s="78" t="s">
        <v>173</v>
      </c>
      <c r="L573" s="78">
        <v>1150.8789999999999</v>
      </c>
    </row>
    <row r="574" spans="1:12">
      <c r="A574" s="77">
        <v>239225</v>
      </c>
      <c r="B574" s="77">
        <v>14117</v>
      </c>
      <c r="C574" s="77" t="s">
        <v>180</v>
      </c>
      <c r="D574" s="77">
        <v>2</v>
      </c>
      <c r="E574" s="77">
        <v>1</v>
      </c>
      <c r="F574" s="79">
        <f t="shared" si="8"/>
        <v>1150.8789999999999</v>
      </c>
      <c r="J574" s="78">
        <v>14102</v>
      </c>
      <c r="K574" s="78" t="s">
        <v>173</v>
      </c>
      <c r="L574" s="78">
        <v>4956.4930000000004</v>
      </c>
    </row>
    <row r="575" spans="1:12">
      <c r="A575" s="77">
        <v>113629</v>
      </c>
      <c r="B575" s="77">
        <v>14122</v>
      </c>
      <c r="C575" s="77" t="s">
        <v>180</v>
      </c>
      <c r="D575" s="77">
        <v>2.5</v>
      </c>
      <c r="E575" s="77">
        <v>2</v>
      </c>
      <c r="F575" s="79">
        <f t="shared" si="8"/>
        <v>1464.694</v>
      </c>
      <c r="J575" s="78">
        <v>14117</v>
      </c>
      <c r="K575" s="78" t="s">
        <v>173</v>
      </c>
      <c r="L575" s="78">
        <v>1150.8789999999999</v>
      </c>
    </row>
    <row r="576" spans="1:12">
      <c r="A576" s="77">
        <v>45107</v>
      </c>
      <c r="B576" s="77">
        <v>14129</v>
      </c>
      <c r="C576" s="77" t="s">
        <v>180</v>
      </c>
      <c r="D576" s="77">
        <v>5</v>
      </c>
      <c r="E576" s="77">
        <v>1</v>
      </c>
      <c r="F576" s="79">
        <f t="shared" si="8"/>
        <v>1188.027</v>
      </c>
      <c r="J576" s="78">
        <v>14122</v>
      </c>
      <c r="K576" s="78" t="s">
        <v>173</v>
      </c>
      <c r="L576" s="78">
        <v>1464.694</v>
      </c>
    </row>
    <row r="577" spans="1:12">
      <c r="A577" s="77">
        <v>203966</v>
      </c>
      <c r="B577" s="77">
        <v>14140</v>
      </c>
      <c r="C577" s="77" t="s">
        <v>180</v>
      </c>
      <c r="D577" s="77">
        <v>2</v>
      </c>
      <c r="E577" s="77">
        <v>3</v>
      </c>
      <c r="F577" s="79">
        <f t="shared" si="8"/>
        <v>2003.7159999999999</v>
      </c>
      <c r="J577" s="78">
        <v>14129</v>
      </c>
      <c r="K577" s="78" t="s">
        <v>172</v>
      </c>
      <c r="L577" s="78">
        <v>1188.027</v>
      </c>
    </row>
    <row r="578" spans="1:12">
      <c r="A578" s="77">
        <v>803121</v>
      </c>
      <c r="B578" s="77">
        <v>14143</v>
      </c>
      <c r="C578" s="77" t="s">
        <v>180</v>
      </c>
      <c r="D578" s="77">
        <v>1.75</v>
      </c>
      <c r="E578" s="77">
        <v>2</v>
      </c>
      <c r="F578" s="79">
        <f t="shared" si="8"/>
        <v>1464.694</v>
      </c>
      <c r="J578" s="78">
        <v>14140</v>
      </c>
      <c r="K578" s="78" t="s">
        <v>173</v>
      </c>
      <c r="L578" s="78">
        <v>2003.7159999999999</v>
      </c>
    </row>
    <row r="579" spans="1:12">
      <c r="A579" s="77">
        <v>219182</v>
      </c>
      <c r="B579" s="77">
        <v>14150</v>
      </c>
      <c r="C579" s="77" t="s">
        <v>180</v>
      </c>
      <c r="D579" s="77">
        <v>2</v>
      </c>
      <c r="E579" s="77">
        <v>1</v>
      </c>
      <c r="F579" s="79">
        <f t="shared" ref="F579:F642" si="9">VLOOKUP(B579,$J$2:$L$1405,3,FALSE)</f>
        <v>6932.7380000000003</v>
      </c>
      <c r="J579" s="78">
        <v>14143</v>
      </c>
      <c r="K579" s="78" t="s">
        <v>173</v>
      </c>
      <c r="L579" s="78">
        <v>1464.694</v>
      </c>
    </row>
    <row r="580" spans="1:12">
      <c r="A580" s="77">
        <v>678366</v>
      </c>
      <c r="B580" s="77">
        <v>14153</v>
      </c>
      <c r="C580" s="77" t="s">
        <v>180</v>
      </c>
      <c r="D580" s="77">
        <v>2</v>
      </c>
      <c r="E580" s="77">
        <v>2</v>
      </c>
      <c r="F580" s="79">
        <f t="shared" si="9"/>
        <v>6932.7380000000003</v>
      </c>
      <c r="J580" s="78">
        <v>14150</v>
      </c>
      <c r="K580" s="78" t="s">
        <v>172</v>
      </c>
      <c r="L580" s="78">
        <v>6932.7380000000003</v>
      </c>
    </row>
    <row r="581" spans="1:12">
      <c r="A581" s="77">
        <v>207623</v>
      </c>
      <c r="B581" s="77">
        <v>14162</v>
      </c>
      <c r="C581" s="77" t="s">
        <v>180</v>
      </c>
      <c r="D581" s="77">
        <v>2.5</v>
      </c>
      <c r="E581" s="77">
        <v>2</v>
      </c>
      <c r="F581" s="79">
        <f t="shared" si="9"/>
        <v>1464.694</v>
      </c>
      <c r="J581" s="78">
        <v>14153</v>
      </c>
      <c r="K581" s="78" t="s">
        <v>172</v>
      </c>
      <c r="L581" s="78">
        <v>6932.7380000000003</v>
      </c>
    </row>
    <row r="582" spans="1:12">
      <c r="A582" s="77">
        <v>687188</v>
      </c>
      <c r="B582" s="77">
        <v>14174</v>
      </c>
      <c r="C582" s="77" t="s">
        <v>180</v>
      </c>
      <c r="D582" s="77">
        <v>2</v>
      </c>
      <c r="E582" s="77">
        <v>2</v>
      </c>
      <c r="F582" s="79">
        <f t="shared" si="9"/>
        <v>6932.7380000000003</v>
      </c>
      <c r="J582" s="78">
        <v>14162</v>
      </c>
      <c r="K582" s="78" t="s">
        <v>173</v>
      </c>
      <c r="L582" s="78">
        <v>1464.694</v>
      </c>
    </row>
    <row r="583" spans="1:12">
      <c r="A583" s="77">
        <v>229086</v>
      </c>
      <c r="B583" s="77">
        <v>14181</v>
      </c>
      <c r="C583" s="77" t="s">
        <v>180</v>
      </c>
      <c r="D583" s="77">
        <v>3.5</v>
      </c>
      <c r="E583" s="77">
        <v>1</v>
      </c>
      <c r="F583" s="79">
        <f t="shared" si="9"/>
        <v>1524.7619999999999</v>
      </c>
      <c r="J583" s="78">
        <v>14174</v>
      </c>
      <c r="K583" s="78" t="s">
        <v>172</v>
      </c>
      <c r="L583" s="78">
        <v>6932.7380000000003</v>
      </c>
    </row>
    <row r="584" spans="1:12">
      <c r="A584" s="77">
        <v>206099</v>
      </c>
      <c r="B584" s="77">
        <v>14210</v>
      </c>
      <c r="C584" s="77" t="s">
        <v>180</v>
      </c>
      <c r="D584" s="77">
        <v>3</v>
      </c>
      <c r="E584" s="77">
        <v>1</v>
      </c>
      <c r="F584" s="79">
        <f t="shared" si="9"/>
        <v>1464.694</v>
      </c>
      <c r="J584" s="78">
        <v>14181</v>
      </c>
      <c r="K584" s="78" t="s">
        <v>173</v>
      </c>
      <c r="L584" s="78">
        <v>1524.7619999999999</v>
      </c>
    </row>
    <row r="585" spans="1:12">
      <c r="A585" s="77">
        <v>205642</v>
      </c>
      <c r="B585" s="77">
        <v>14211</v>
      </c>
      <c r="C585" s="77" t="s">
        <v>180</v>
      </c>
      <c r="D585" s="77">
        <v>1.75</v>
      </c>
      <c r="E585" s="77">
        <v>2</v>
      </c>
      <c r="F585" s="79">
        <f t="shared" si="9"/>
        <v>1524.7619999999999</v>
      </c>
      <c r="J585" s="78">
        <v>14210</v>
      </c>
      <c r="K585" s="78" t="s">
        <v>173</v>
      </c>
      <c r="L585" s="78">
        <v>1464.694</v>
      </c>
    </row>
    <row r="586" spans="1:12">
      <c r="A586" s="77">
        <v>198073</v>
      </c>
      <c r="B586" s="77">
        <v>14222</v>
      </c>
      <c r="C586" s="77" t="s">
        <v>180</v>
      </c>
      <c r="D586" s="77">
        <v>4.5</v>
      </c>
      <c r="E586" s="77">
        <v>1</v>
      </c>
      <c r="F586" s="79">
        <f t="shared" si="9"/>
        <v>1524.7619999999999</v>
      </c>
      <c r="J586" s="78">
        <v>14211</v>
      </c>
      <c r="K586" s="78" t="s">
        <v>173</v>
      </c>
      <c r="L586" s="78">
        <v>1524.7619999999999</v>
      </c>
    </row>
    <row r="587" spans="1:12">
      <c r="A587" s="77">
        <v>208641</v>
      </c>
      <c r="B587" s="77">
        <v>14264</v>
      </c>
      <c r="C587" s="77" t="s">
        <v>180</v>
      </c>
      <c r="D587" s="77">
        <v>1.75</v>
      </c>
      <c r="E587" s="77">
        <v>2</v>
      </c>
      <c r="F587" s="79">
        <f t="shared" si="9"/>
        <v>4956.4930000000004</v>
      </c>
      <c r="J587" s="78">
        <v>14222</v>
      </c>
      <c r="K587" s="78" t="s">
        <v>173</v>
      </c>
      <c r="L587" s="78">
        <v>1524.7619999999999</v>
      </c>
    </row>
    <row r="588" spans="1:12">
      <c r="A588" s="77">
        <v>197736</v>
      </c>
      <c r="B588" s="77">
        <v>14273</v>
      </c>
      <c r="C588" s="77" t="s">
        <v>180</v>
      </c>
      <c r="D588" s="77">
        <v>2</v>
      </c>
      <c r="E588" s="77">
        <v>3</v>
      </c>
      <c r="F588" s="79">
        <f t="shared" si="9"/>
        <v>4956.4930000000004</v>
      </c>
      <c r="J588" s="78">
        <v>14264</v>
      </c>
      <c r="K588" s="78" t="s">
        <v>173</v>
      </c>
      <c r="L588" s="78">
        <v>4956.4930000000004</v>
      </c>
    </row>
    <row r="589" spans="1:12">
      <c r="A589" s="77">
        <v>197466</v>
      </c>
      <c r="B589" s="77">
        <v>14277</v>
      </c>
      <c r="C589" s="77" t="s">
        <v>180</v>
      </c>
      <c r="D589" s="77">
        <v>2</v>
      </c>
      <c r="E589" s="77">
        <v>2</v>
      </c>
      <c r="F589" s="79">
        <f t="shared" si="9"/>
        <v>4956.4930000000004</v>
      </c>
      <c r="J589" s="78">
        <v>14273</v>
      </c>
      <c r="K589" s="78" t="s">
        <v>173</v>
      </c>
      <c r="L589" s="78">
        <v>4956.4930000000004</v>
      </c>
    </row>
    <row r="590" spans="1:12">
      <c r="A590" s="77">
        <v>212403</v>
      </c>
      <c r="B590" s="77">
        <v>14284</v>
      </c>
      <c r="C590" s="77" t="s">
        <v>180</v>
      </c>
      <c r="D590" s="77">
        <v>1.5</v>
      </c>
      <c r="E590" s="77">
        <v>3</v>
      </c>
      <c r="F590" s="79">
        <f t="shared" si="9"/>
        <v>1524.7619999999999</v>
      </c>
      <c r="J590" s="78">
        <v>14277</v>
      </c>
      <c r="K590" s="78" t="s">
        <v>173</v>
      </c>
      <c r="L590" s="78">
        <v>4956.4930000000004</v>
      </c>
    </row>
    <row r="591" spans="1:12">
      <c r="A591" s="77">
        <v>218042</v>
      </c>
      <c r="B591" s="77">
        <v>14285</v>
      </c>
      <c r="C591" s="77" t="s">
        <v>180</v>
      </c>
      <c r="D591" s="77">
        <v>1.75</v>
      </c>
      <c r="E591" s="77">
        <v>1</v>
      </c>
      <c r="F591" s="79">
        <f t="shared" si="9"/>
        <v>1524.7619999999999</v>
      </c>
      <c r="J591" s="78">
        <v>14284</v>
      </c>
      <c r="K591" s="78" t="s">
        <v>173</v>
      </c>
      <c r="L591" s="78">
        <v>1524.7619999999999</v>
      </c>
    </row>
    <row r="592" spans="1:12">
      <c r="A592" s="77">
        <v>237947</v>
      </c>
      <c r="B592" s="77">
        <v>14300</v>
      </c>
      <c r="C592" s="77" t="s">
        <v>180</v>
      </c>
      <c r="D592" s="77">
        <v>2.5</v>
      </c>
      <c r="E592" s="77">
        <v>2</v>
      </c>
      <c r="F592" s="79">
        <f t="shared" si="9"/>
        <v>4956.4930000000004</v>
      </c>
      <c r="J592" s="78">
        <v>14285</v>
      </c>
      <c r="K592" s="78" t="s">
        <v>173</v>
      </c>
      <c r="L592" s="78">
        <v>1524.7619999999999</v>
      </c>
    </row>
    <row r="593" spans="1:12">
      <c r="A593" s="77">
        <v>204457</v>
      </c>
      <c r="B593" s="77">
        <v>14329</v>
      </c>
      <c r="C593" s="77" t="s">
        <v>180</v>
      </c>
      <c r="D593" s="77">
        <v>2</v>
      </c>
      <c r="E593" s="77">
        <v>1</v>
      </c>
      <c r="F593" s="79">
        <f t="shared" si="9"/>
        <v>6932.7380000000003</v>
      </c>
      <c r="J593" s="78">
        <v>14300</v>
      </c>
      <c r="K593" s="78" t="s">
        <v>173</v>
      </c>
      <c r="L593" s="78">
        <v>4956.4930000000004</v>
      </c>
    </row>
    <row r="594" spans="1:12">
      <c r="A594" s="77">
        <v>666815</v>
      </c>
      <c r="B594" s="77">
        <v>14331</v>
      </c>
      <c r="C594" s="77" t="s">
        <v>180</v>
      </c>
      <c r="D594" s="77">
        <v>1.5</v>
      </c>
      <c r="E594" s="77">
        <v>2</v>
      </c>
      <c r="F594" s="79">
        <f t="shared" si="9"/>
        <v>6932.7380000000003</v>
      </c>
      <c r="J594" s="78">
        <v>14329</v>
      </c>
      <c r="K594" s="78" t="s">
        <v>172</v>
      </c>
      <c r="L594" s="78">
        <v>6932.7380000000003</v>
      </c>
    </row>
    <row r="595" spans="1:12">
      <c r="A595" s="77">
        <v>219427</v>
      </c>
      <c r="B595" s="77">
        <v>14423</v>
      </c>
      <c r="C595" s="77" t="s">
        <v>180</v>
      </c>
      <c r="D595" s="77">
        <v>1.25</v>
      </c>
      <c r="E595" s="77">
        <v>2</v>
      </c>
      <c r="F595" s="79">
        <f t="shared" si="9"/>
        <v>4956.4930000000004</v>
      </c>
      <c r="J595" s="78">
        <v>14331</v>
      </c>
      <c r="K595" s="78" t="s">
        <v>172</v>
      </c>
      <c r="L595" s="78">
        <v>6932.7380000000003</v>
      </c>
    </row>
    <row r="596" spans="1:12">
      <c r="A596" s="77">
        <v>29934</v>
      </c>
      <c r="B596" s="77">
        <v>14457</v>
      </c>
      <c r="C596" s="77" t="s">
        <v>180</v>
      </c>
      <c r="D596" s="77">
        <v>2.2000000000000002</v>
      </c>
      <c r="E596" s="77">
        <v>1</v>
      </c>
      <c r="F596" s="79">
        <f t="shared" si="9"/>
        <v>1150.8789999999999</v>
      </c>
      <c r="J596" s="78">
        <v>14423</v>
      </c>
      <c r="K596" s="78" t="s">
        <v>173</v>
      </c>
      <c r="L596" s="78">
        <v>4956.4930000000004</v>
      </c>
    </row>
    <row r="597" spans="1:12">
      <c r="A597" s="77">
        <v>674574</v>
      </c>
      <c r="B597" s="77">
        <v>14508</v>
      </c>
      <c r="C597" s="77" t="s">
        <v>180</v>
      </c>
      <c r="D597" s="77">
        <v>1.75</v>
      </c>
      <c r="E597" s="77">
        <v>2</v>
      </c>
      <c r="F597" s="79">
        <f t="shared" si="9"/>
        <v>4956.4930000000004</v>
      </c>
      <c r="J597" s="78">
        <v>14457</v>
      </c>
      <c r="K597" s="78" t="s">
        <v>173</v>
      </c>
      <c r="L597" s="78">
        <v>1150.8789999999999</v>
      </c>
    </row>
    <row r="598" spans="1:12">
      <c r="A598" s="77">
        <v>666928</v>
      </c>
      <c r="B598" s="77">
        <v>14542</v>
      </c>
      <c r="C598" s="77" t="s">
        <v>180</v>
      </c>
      <c r="D598" s="77">
        <v>4</v>
      </c>
      <c r="E598" s="77">
        <v>2</v>
      </c>
      <c r="F598" s="79">
        <f t="shared" si="9"/>
        <v>1188.027</v>
      </c>
      <c r="J598" s="78">
        <v>14508</v>
      </c>
      <c r="K598" s="78" t="s">
        <v>173</v>
      </c>
      <c r="L598" s="78">
        <v>4956.4930000000004</v>
      </c>
    </row>
    <row r="599" spans="1:12">
      <c r="A599" s="77">
        <v>191734</v>
      </c>
      <c r="B599" s="77">
        <v>14545</v>
      </c>
      <c r="C599" s="77" t="s">
        <v>180</v>
      </c>
      <c r="D599" s="77">
        <v>4</v>
      </c>
      <c r="E599" s="77">
        <v>1</v>
      </c>
      <c r="F599" s="79">
        <f t="shared" si="9"/>
        <v>1188.027</v>
      </c>
      <c r="J599" s="78">
        <v>14542</v>
      </c>
      <c r="K599" s="78" t="s">
        <v>172</v>
      </c>
      <c r="L599" s="78">
        <v>1188.027</v>
      </c>
    </row>
    <row r="600" spans="1:12">
      <c r="A600" s="77">
        <v>685699</v>
      </c>
      <c r="B600" s="77">
        <v>14560</v>
      </c>
      <c r="C600" s="77" t="s">
        <v>180</v>
      </c>
      <c r="D600" s="77">
        <v>3</v>
      </c>
      <c r="E600" s="77">
        <v>2</v>
      </c>
      <c r="F600" s="79">
        <f t="shared" si="9"/>
        <v>6932.7380000000003</v>
      </c>
      <c r="J600" s="78">
        <v>14545</v>
      </c>
      <c r="K600" s="78" t="s">
        <v>172</v>
      </c>
      <c r="L600" s="78">
        <v>1188.027</v>
      </c>
    </row>
    <row r="601" spans="1:12">
      <c r="A601" s="77">
        <v>222470</v>
      </c>
      <c r="B601" s="77">
        <v>14577</v>
      </c>
      <c r="C601" s="77" t="s">
        <v>180</v>
      </c>
      <c r="D601" s="77">
        <v>2</v>
      </c>
      <c r="E601" s="77">
        <v>1</v>
      </c>
      <c r="F601" s="79">
        <f t="shared" si="9"/>
        <v>6932.7380000000003</v>
      </c>
      <c r="J601" s="78">
        <v>14560</v>
      </c>
      <c r="K601" s="78" t="s">
        <v>172</v>
      </c>
      <c r="L601" s="78">
        <v>6932.7380000000003</v>
      </c>
    </row>
    <row r="602" spans="1:12">
      <c r="A602" s="77">
        <v>177906</v>
      </c>
      <c r="B602" s="77">
        <v>14646</v>
      </c>
      <c r="C602" s="77" t="s">
        <v>180</v>
      </c>
      <c r="D602" s="77">
        <v>2</v>
      </c>
      <c r="E602" s="77">
        <v>2</v>
      </c>
      <c r="F602" s="79">
        <f t="shared" si="9"/>
        <v>1188.027</v>
      </c>
      <c r="J602" s="78">
        <v>14577</v>
      </c>
      <c r="K602" s="78" t="s">
        <v>172</v>
      </c>
      <c r="L602" s="78">
        <v>6932.7380000000003</v>
      </c>
    </row>
    <row r="603" spans="1:12">
      <c r="A603" s="77">
        <v>659312</v>
      </c>
      <c r="B603" s="77">
        <v>14674</v>
      </c>
      <c r="C603" s="77" t="s">
        <v>180</v>
      </c>
      <c r="D603" s="77">
        <v>1.5</v>
      </c>
      <c r="E603" s="77">
        <v>2</v>
      </c>
      <c r="F603" s="79">
        <f t="shared" si="9"/>
        <v>6932.7380000000003</v>
      </c>
      <c r="J603" s="78">
        <v>14646</v>
      </c>
      <c r="K603" s="78" t="s">
        <v>172</v>
      </c>
      <c r="L603" s="78">
        <v>1188.027</v>
      </c>
    </row>
    <row r="604" spans="1:12">
      <c r="A604" s="77">
        <v>72196</v>
      </c>
      <c r="B604" s="77">
        <v>20007</v>
      </c>
      <c r="C604" s="77" t="s">
        <v>180</v>
      </c>
      <c r="D604" s="77">
        <v>3</v>
      </c>
      <c r="E604" s="77">
        <v>2</v>
      </c>
      <c r="F604" s="79">
        <f t="shared" si="9"/>
        <v>2079.9929999999999</v>
      </c>
      <c r="J604" s="78">
        <v>14674</v>
      </c>
      <c r="K604" s="78" t="s">
        <v>172</v>
      </c>
      <c r="L604" s="78">
        <v>6932.7380000000003</v>
      </c>
    </row>
    <row r="605" spans="1:12">
      <c r="A605" s="77">
        <v>192685</v>
      </c>
      <c r="B605" s="77">
        <v>20016</v>
      </c>
      <c r="C605" s="77" t="s">
        <v>180</v>
      </c>
      <c r="D605" s="77">
        <v>2</v>
      </c>
      <c r="E605" s="77">
        <v>1</v>
      </c>
      <c r="F605" s="79">
        <f t="shared" si="9"/>
        <v>12271.31</v>
      </c>
      <c r="J605" s="78">
        <v>20007</v>
      </c>
      <c r="K605" s="78" t="s">
        <v>173</v>
      </c>
      <c r="L605" s="78">
        <v>2079.9929999999999</v>
      </c>
    </row>
    <row r="606" spans="1:12">
      <c r="A606" s="77">
        <v>230043</v>
      </c>
      <c r="B606" s="77">
        <v>20020</v>
      </c>
      <c r="C606" s="77" t="s">
        <v>180</v>
      </c>
      <c r="D606" s="77">
        <v>2.5</v>
      </c>
      <c r="E606" s="77">
        <v>2</v>
      </c>
      <c r="F606" s="79">
        <f t="shared" si="9"/>
        <v>1904.288</v>
      </c>
      <c r="J606" s="78">
        <v>20016</v>
      </c>
      <c r="K606" s="78" t="s">
        <v>173</v>
      </c>
      <c r="L606" s="78">
        <v>12271.31</v>
      </c>
    </row>
    <row r="607" spans="1:12">
      <c r="A607" s="77">
        <v>681686</v>
      </c>
      <c r="B607" s="77">
        <v>20028</v>
      </c>
      <c r="C607" s="77" t="s">
        <v>180</v>
      </c>
      <c r="D607" s="77">
        <v>2.5</v>
      </c>
      <c r="E607" s="77">
        <v>1</v>
      </c>
      <c r="F607" s="79">
        <f t="shared" si="9"/>
        <v>6932.7380000000003</v>
      </c>
      <c r="J607" s="78">
        <v>20020</v>
      </c>
      <c r="K607" s="78" t="s">
        <v>173</v>
      </c>
      <c r="L607" s="78">
        <v>1904.288</v>
      </c>
    </row>
    <row r="608" spans="1:12">
      <c r="A608" s="77">
        <v>37246</v>
      </c>
      <c r="B608" s="77">
        <v>20034</v>
      </c>
      <c r="C608" s="77" t="s">
        <v>180</v>
      </c>
      <c r="D608" s="77">
        <v>2.5</v>
      </c>
      <c r="E608" s="77">
        <v>1</v>
      </c>
      <c r="F608" s="79">
        <f t="shared" si="9"/>
        <v>3785.7640000000001</v>
      </c>
      <c r="J608" s="78">
        <v>20028</v>
      </c>
      <c r="K608" s="78" t="s">
        <v>172</v>
      </c>
      <c r="L608" s="78">
        <v>6932.7380000000003</v>
      </c>
    </row>
    <row r="609" spans="1:12">
      <c r="A609" s="77">
        <v>94699</v>
      </c>
      <c r="B609" s="77">
        <v>20038</v>
      </c>
      <c r="C609" s="77" t="s">
        <v>180</v>
      </c>
      <c r="D609" s="77">
        <v>3.8</v>
      </c>
      <c r="E609" s="77">
        <v>2</v>
      </c>
      <c r="F609" s="79">
        <f t="shared" si="9"/>
        <v>1144.6790000000001</v>
      </c>
      <c r="J609" s="78">
        <v>20034</v>
      </c>
      <c r="K609" s="78" t="s">
        <v>170</v>
      </c>
      <c r="L609" s="78">
        <v>3785.7640000000001</v>
      </c>
    </row>
    <row r="610" spans="1:12">
      <c r="A610" s="77">
        <v>143572</v>
      </c>
      <c r="B610" s="77">
        <v>20042</v>
      </c>
      <c r="C610" s="77" t="s">
        <v>180</v>
      </c>
      <c r="D610" s="77">
        <v>2</v>
      </c>
      <c r="E610" s="77">
        <v>2</v>
      </c>
      <c r="F610" s="79">
        <f t="shared" si="9"/>
        <v>2130.886</v>
      </c>
      <c r="J610" s="78">
        <v>20038</v>
      </c>
      <c r="K610" s="78" t="s">
        <v>171</v>
      </c>
      <c r="L610" s="78">
        <v>1144.6790000000001</v>
      </c>
    </row>
    <row r="611" spans="1:12">
      <c r="A611" s="77">
        <v>155141</v>
      </c>
      <c r="B611" s="77">
        <v>20043</v>
      </c>
      <c r="C611" s="77" t="s">
        <v>180</v>
      </c>
      <c r="D611" s="77">
        <v>2.5</v>
      </c>
      <c r="E611" s="77">
        <v>1</v>
      </c>
      <c r="F611" s="79">
        <f t="shared" si="9"/>
        <v>1904.288</v>
      </c>
      <c r="J611" s="78">
        <v>20042</v>
      </c>
      <c r="K611" s="78" t="s">
        <v>171</v>
      </c>
      <c r="L611" s="78">
        <v>2130.886</v>
      </c>
    </row>
    <row r="612" spans="1:12">
      <c r="A612" s="77">
        <v>78817</v>
      </c>
      <c r="B612" s="77">
        <v>20051</v>
      </c>
      <c r="C612" s="77" t="s">
        <v>180</v>
      </c>
      <c r="D612" s="77">
        <v>3.75</v>
      </c>
      <c r="E612" s="77">
        <v>1</v>
      </c>
      <c r="F612" s="79">
        <f t="shared" si="9"/>
        <v>1144.6790000000001</v>
      </c>
      <c r="J612" s="78">
        <v>20043</v>
      </c>
      <c r="K612" s="78" t="s">
        <v>173</v>
      </c>
      <c r="L612" s="78">
        <v>1904.288</v>
      </c>
    </row>
    <row r="613" spans="1:12">
      <c r="A613" s="77">
        <v>33436</v>
      </c>
      <c r="B613" s="77">
        <v>20058</v>
      </c>
      <c r="C613" s="77" t="s">
        <v>180</v>
      </c>
      <c r="D613" s="77">
        <v>2</v>
      </c>
      <c r="E613" s="77">
        <v>1</v>
      </c>
      <c r="F613" s="79">
        <f t="shared" si="9"/>
        <v>3785.7640000000001</v>
      </c>
      <c r="J613" s="78">
        <v>20051</v>
      </c>
      <c r="K613" s="78" t="s">
        <v>171</v>
      </c>
      <c r="L613" s="78">
        <v>1144.6790000000001</v>
      </c>
    </row>
    <row r="614" spans="1:12">
      <c r="A614" s="77">
        <v>205849</v>
      </c>
      <c r="B614" s="77">
        <v>20065</v>
      </c>
      <c r="C614" s="77" t="s">
        <v>180</v>
      </c>
      <c r="D614" s="77">
        <v>2.5</v>
      </c>
      <c r="E614" s="77">
        <v>1</v>
      </c>
      <c r="F614" s="79">
        <f t="shared" si="9"/>
        <v>3785.7640000000001</v>
      </c>
      <c r="J614" s="78">
        <v>20058</v>
      </c>
      <c r="K614" s="78" t="s">
        <v>170</v>
      </c>
      <c r="L614" s="78">
        <v>3785.7640000000001</v>
      </c>
    </row>
    <row r="615" spans="1:12">
      <c r="A615" s="77">
        <v>74724</v>
      </c>
      <c r="B615" s="77">
        <v>20066</v>
      </c>
      <c r="C615" s="77" t="s">
        <v>180</v>
      </c>
      <c r="D615" s="77">
        <v>1.75</v>
      </c>
      <c r="E615" s="77">
        <v>1</v>
      </c>
      <c r="F615" s="79">
        <f t="shared" si="9"/>
        <v>2079.9929999999999</v>
      </c>
      <c r="J615" s="78">
        <v>20065</v>
      </c>
      <c r="K615" s="78" t="s">
        <v>170</v>
      </c>
      <c r="L615" s="78">
        <v>3785.7640000000001</v>
      </c>
    </row>
    <row r="616" spans="1:12">
      <c r="A616" s="77">
        <v>67601</v>
      </c>
      <c r="B616" s="77">
        <v>20076</v>
      </c>
      <c r="C616" s="77" t="s">
        <v>180</v>
      </c>
      <c r="D616" s="77">
        <v>2</v>
      </c>
      <c r="E616" s="77">
        <v>2</v>
      </c>
      <c r="F616" s="79">
        <f t="shared" si="9"/>
        <v>3785.7640000000001</v>
      </c>
      <c r="J616" s="78">
        <v>20066</v>
      </c>
      <c r="K616" s="78" t="s">
        <v>173</v>
      </c>
      <c r="L616" s="78">
        <v>2079.9929999999999</v>
      </c>
    </row>
    <row r="617" spans="1:12">
      <c r="A617" s="77">
        <v>133095</v>
      </c>
      <c r="B617" s="77">
        <v>20078</v>
      </c>
      <c r="C617" s="77" t="s">
        <v>180</v>
      </c>
      <c r="D617" s="77">
        <v>1.25</v>
      </c>
      <c r="E617" s="77">
        <v>1</v>
      </c>
      <c r="F617" s="79">
        <f t="shared" si="9"/>
        <v>1144.6790000000001</v>
      </c>
      <c r="J617" s="78">
        <v>20076</v>
      </c>
      <c r="K617" s="78" t="s">
        <v>170</v>
      </c>
      <c r="L617" s="78">
        <v>3785.7640000000001</v>
      </c>
    </row>
    <row r="618" spans="1:12">
      <c r="A618" s="77">
        <v>94273</v>
      </c>
      <c r="B618" s="77">
        <v>20080</v>
      </c>
      <c r="C618" s="77" t="s">
        <v>180</v>
      </c>
      <c r="D618" s="77">
        <v>2.5</v>
      </c>
      <c r="E618" s="77">
        <v>3</v>
      </c>
      <c r="F618" s="79">
        <f t="shared" si="9"/>
        <v>1904.288</v>
      </c>
      <c r="J618" s="78">
        <v>20078</v>
      </c>
      <c r="K618" s="78" t="s">
        <v>171</v>
      </c>
      <c r="L618" s="78">
        <v>1144.6790000000001</v>
      </c>
    </row>
    <row r="619" spans="1:12">
      <c r="A619" s="77">
        <v>194239</v>
      </c>
      <c r="B619" s="77">
        <v>20081</v>
      </c>
      <c r="C619" s="77" t="s">
        <v>180</v>
      </c>
      <c r="D619" s="77">
        <v>3</v>
      </c>
      <c r="E619" s="77">
        <v>2</v>
      </c>
      <c r="F619" s="79">
        <f t="shared" si="9"/>
        <v>2130.886</v>
      </c>
      <c r="J619" s="78">
        <v>20080</v>
      </c>
      <c r="K619" s="78" t="s">
        <v>173</v>
      </c>
      <c r="L619" s="78">
        <v>1904.288</v>
      </c>
    </row>
    <row r="620" spans="1:12">
      <c r="A620" s="77">
        <v>191282</v>
      </c>
      <c r="B620" s="77">
        <v>20085</v>
      </c>
      <c r="C620" s="77" t="s">
        <v>180</v>
      </c>
      <c r="D620" s="77">
        <v>2.5</v>
      </c>
      <c r="E620" s="77">
        <v>1</v>
      </c>
      <c r="F620" s="79">
        <f t="shared" si="9"/>
        <v>4360.1880000000001</v>
      </c>
      <c r="J620" s="78">
        <v>20081</v>
      </c>
      <c r="K620" s="78" t="s">
        <v>171</v>
      </c>
      <c r="L620" s="78">
        <v>2130.886</v>
      </c>
    </row>
    <row r="621" spans="1:12">
      <c r="A621" s="77">
        <v>691927</v>
      </c>
      <c r="B621" s="77">
        <v>20088</v>
      </c>
      <c r="C621" s="77" t="s">
        <v>180</v>
      </c>
      <c r="D621" s="77">
        <v>2</v>
      </c>
      <c r="E621" s="77">
        <v>2</v>
      </c>
      <c r="F621" s="79">
        <f t="shared" si="9"/>
        <v>3785.7640000000001</v>
      </c>
      <c r="J621" s="78">
        <v>20085</v>
      </c>
      <c r="K621" s="78" t="s">
        <v>173</v>
      </c>
      <c r="L621" s="78">
        <v>4360.1880000000001</v>
      </c>
    </row>
    <row r="622" spans="1:12">
      <c r="A622" s="77">
        <v>87879</v>
      </c>
      <c r="B622" s="77">
        <v>20089</v>
      </c>
      <c r="C622" s="77" t="s">
        <v>180</v>
      </c>
      <c r="D622" s="77">
        <v>2.7</v>
      </c>
      <c r="E622" s="77">
        <v>2</v>
      </c>
      <c r="F622" s="79">
        <f t="shared" si="9"/>
        <v>1144.6790000000001</v>
      </c>
      <c r="J622" s="78">
        <v>20088</v>
      </c>
      <c r="K622" s="78" t="s">
        <v>170</v>
      </c>
      <c r="L622" s="78">
        <v>3785.7640000000001</v>
      </c>
    </row>
    <row r="623" spans="1:12">
      <c r="A623" s="77">
        <v>98331</v>
      </c>
      <c r="B623" s="77">
        <v>20095</v>
      </c>
      <c r="C623" s="77" t="s">
        <v>180</v>
      </c>
      <c r="D623" s="77">
        <v>1.5</v>
      </c>
      <c r="E623" s="77">
        <v>1</v>
      </c>
      <c r="F623" s="79">
        <f t="shared" si="9"/>
        <v>1904.288</v>
      </c>
      <c r="J623" s="78">
        <v>20089</v>
      </c>
      <c r="K623" s="78" t="s">
        <v>171</v>
      </c>
      <c r="L623" s="78">
        <v>1144.6790000000001</v>
      </c>
    </row>
    <row r="624" spans="1:12">
      <c r="A624" s="77">
        <v>68557</v>
      </c>
      <c r="B624" s="77">
        <v>20100</v>
      </c>
      <c r="C624" s="77" t="s">
        <v>180</v>
      </c>
      <c r="D624" s="77">
        <v>1.4</v>
      </c>
      <c r="E624" s="77">
        <v>1</v>
      </c>
      <c r="F624" s="79">
        <f t="shared" si="9"/>
        <v>2130.886</v>
      </c>
      <c r="J624" s="78">
        <v>20095</v>
      </c>
      <c r="K624" s="78" t="s">
        <v>173</v>
      </c>
      <c r="L624" s="78">
        <v>1904.288</v>
      </c>
    </row>
    <row r="625" spans="1:12">
      <c r="A625" s="77">
        <v>203792</v>
      </c>
      <c r="B625" s="77">
        <v>20106</v>
      </c>
      <c r="C625" s="77" t="s">
        <v>180</v>
      </c>
      <c r="D625" s="77">
        <v>2</v>
      </c>
      <c r="E625" s="77">
        <v>1</v>
      </c>
      <c r="F625" s="79">
        <f t="shared" si="9"/>
        <v>3785.7640000000001</v>
      </c>
      <c r="J625" s="78">
        <v>20100</v>
      </c>
      <c r="K625" s="78" t="s">
        <v>171</v>
      </c>
      <c r="L625" s="78">
        <v>2130.886</v>
      </c>
    </row>
    <row r="626" spans="1:12">
      <c r="A626" s="77">
        <v>229701</v>
      </c>
      <c r="B626" s="77">
        <v>20108</v>
      </c>
      <c r="C626" s="77" t="s">
        <v>180</v>
      </c>
      <c r="D626" s="77">
        <v>2.5</v>
      </c>
      <c r="E626" s="77">
        <v>2</v>
      </c>
      <c r="F626" s="79">
        <f t="shared" si="9"/>
        <v>3785.7640000000001</v>
      </c>
      <c r="J626" s="78">
        <v>20106</v>
      </c>
      <c r="K626" s="78" t="s">
        <v>170</v>
      </c>
      <c r="L626" s="78">
        <v>3785.7640000000001</v>
      </c>
    </row>
    <row r="627" spans="1:12">
      <c r="A627" s="77">
        <v>231537</v>
      </c>
      <c r="B627" s="77">
        <v>20109</v>
      </c>
      <c r="C627" s="77" t="s">
        <v>180</v>
      </c>
      <c r="D627" s="77">
        <v>2.2000000000000002</v>
      </c>
      <c r="E627" s="77">
        <v>1</v>
      </c>
      <c r="F627" s="79">
        <f t="shared" si="9"/>
        <v>1612.692</v>
      </c>
      <c r="J627" s="78">
        <v>20108</v>
      </c>
      <c r="K627" s="78" t="s">
        <v>170</v>
      </c>
      <c r="L627" s="78">
        <v>3785.7640000000001</v>
      </c>
    </row>
    <row r="628" spans="1:12">
      <c r="A628" s="77">
        <v>46397</v>
      </c>
      <c r="B628" s="77">
        <v>20111</v>
      </c>
      <c r="C628" s="77" t="s">
        <v>180</v>
      </c>
      <c r="D628" s="77">
        <v>2</v>
      </c>
      <c r="E628" s="77">
        <v>2</v>
      </c>
      <c r="F628" s="79">
        <f t="shared" si="9"/>
        <v>2079.9929999999999</v>
      </c>
      <c r="J628" s="78">
        <v>20109</v>
      </c>
      <c r="K628" s="78" t="s">
        <v>172</v>
      </c>
      <c r="L628" s="78">
        <v>1612.692</v>
      </c>
    </row>
    <row r="629" spans="1:12">
      <c r="A629" s="77">
        <v>176583</v>
      </c>
      <c r="B629" s="77">
        <v>20117</v>
      </c>
      <c r="C629" s="77" t="s">
        <v>180</v>
      </c>
      <c r="D629" s="77">
        <v>3</v>
      </c>
      <c r="E629" s="77">
        <v>1</v>
      </c>
      <c r="F629" s="79">
        <f t="shared" si="9"/>
        <v>2130.886</v>
      </c>
      <c r="J629" s="78">
        <v>20111</v>
      </c>
      <c r="K629" s="78" t="s">
        <v>173</v>
      </c>
      <c r="L629" s="78">
        <v>2079.9929999999999</v>
      </c>
    </row>
    <row r="630" spans="1:12">
      <c r="A630" s="77">
        <v>33865</v>
      </c>
      <c r="B630" s="77">
        <v>20125</v>
      </c>
      <c r="C630" s="77" t="s">
        <v>180</v>
      </c>
      <c r="D630" s="77">
        <v>1</v>
      </c>
      <c r="E630" s="77">
        <v>2</v>
      </c>
      <c r="F630" s="79">
        <f t="shared" si="9"/>
        <v>3785.7640000000001</v>
      </c>
      <c r="J630" s="78">
        <v>20117</v>
      </c>
      <c r="K630" s="78" t="s">
        <v>171</v>
      </c>
      <c r="L630" s="78">
        <v>2130.886</v>
      </c>
    </row>
    <row r="631" spans="1:12">
      <c r="A631" s="77">
        <v>184512</v>
      </c>
      <c r="B631" s="77">
        <v>20152</v>
      </c>
      <c r="C631" s="77" t="s">
        <v>180</v>
      </c>
      <c r="D631" s="77">
        <v>2.5</v>
      </c>
      <c r="E631" s="77">
        <v>3</v>
      </c>
      <c r="F631" s="79">
        <f t="shared" si="9"/>
        <v>3785.7640000000001</v>
      </c>
      <c r="J631" s="78">
        <v>20125</v>
      </c>
      <c r="K631" s="78" t="s">
        <v>170</v>
      </c>
      <c r="L631" s="78">
        <v>3785.7640000000001</v>
      </c>
    </row>
    <row r="632" spans="1:12">
      <c r="A632" s="77">
        <v>184889</v>
      </c>
      <c r="B632" s="77">
        <v>20154</v>
      </c>
      <c r="C632" s="77" t="s">
        <v>180</v>
      </c>
      <c r="D632" s="77">
        <v>2</v>
      </c>
      <c r="E632" s="77">
        <v>3</v>
      </c>
      <c r="F632" s="79">
        <f t="shared" si="9"/>
        <v>3785.7640000000001</v>
      </c>
      <c r="J632" s="78">
        <v>20152</v>
      </c>
      <c r="K632" s="78" t="s">
        <v>170</v>
      </c>
      <c r="L632" s="78">
        <v>3785.7640000000001</v>
      </c>
    </row>
    <row r="633" spans="1:12">
      <c r="A633" s="77">
        <v>158163</v>
      </c>
      <c r="B633" s="77">
        <v>20155</v>
      </c>
      <c r="C633" s="77" t="s">
        <v>180</v>
      </c>
      <c r="D633" s="77">
        <v>2</v>
      </c>
      <c r="E633" s="77">
        <v>2</v>
      </c>
      <c r="F633" s="79">
        <f t="shared" si="9"/>
        <v>1612.692</v>
      </c>
      <c r="J633" s="78">
        <v>20154</v>
      </c>
      <c r="K633" s="78" t="s">
        <v>170</v>
      </c>
      <c r="L633" s="78">
        <v>3785.7640000000001</v>
      </c>
    </row>
    <row r="634" spans="1:12">
      <c r="A634" s="77">
        <v>202228</v>
      </c>
      <c r="B634" s="77">
        <v>20156</v>
      </c>
      <c r="C634" s="77" t="s">
        <v>180</v>
      </c>
      <c r="D634" s="77">
        <v>2.75</v>
      </c>
      <c r="E634" s="77">
        <v>1</v>
      </c>
      <c r="F634" s="79">
        <f t="shared" si="9"/>
        <v>1612.692</v>
      </c>
      <c r="J634" s="78">
        <v>20155</v>
      </c>
      <c r="K634" s="78" t="s">
        <v>172</v>
      </c>
      <c r="L634" s="78">
        <v>1612.692</v>
      </c>
    </row>
    <row r="635" spans="1:12">
      <c r="A635" s="77">
        <v>60996</v>
      </c>
      <c r="B635" s="77">
        <v>20163</v>
      </c>
      <c r="C635" s="77" t="s">
        <v>180</v>
      </c>
      <c r="D635" s="77">
        <v>1.5</v>
      </c>
      <c r="E635" s="77">
        <v>1</v>
      </c>
      <c r="F635" s="79">
        <f t="shared" si="9"/>
        <v>2079.9929999999999</v>
      </c>
      <c r="J635" s="78">
        <v>20156</v>
      </c>
      <c r="K635" s="78" t="s">
        <v>172</v>
      </c>
      <c r="L635" s="78">
        <v>1612.692</v>
      </c>
    </row>
    <row r="636" spans="1:12">
      <c r="A636" s="77">
        <v>42236</v>
      </c>
      <c r="B636" s="77">
        <v>20166</v>
      </c>
      <c r="C636" s="77" t="s">
        <v>180</v>
      </c>
      <c r="D636" s="77">
        <v>2.75</v>
      </c>
      <c r="E636" s="77">
        <v>2</v>
      </c>
      <c r="F636" s="79">
        <f t="shared" si="9"/>
        <v>2079.9929999999999</v>
      </c>
      <c r="J636" s="78">
        <v>20163</v>
      </c>
      <c r="K636" s="78" t="s">
        <v>173</v>
      </c>
      <c r="L636" s="78">
        <v>2079.9929999999999</v>
      </c>
    </row>
    <row r="637" spans="1:12">
      <c r="A637" s="77">
        <v>142715</v>
      </c>
      <c r="B637" s="77">
        <v>20168</v>
      </c>
      <c r="C637" s="77" t="s">
        <v>180</v>
      </c>
      <c r="D637" s="77">
        <v>2</v>
      </c>
      <c r="E637" s="77">
        <v>2</v>
      </c>
      <c r="F637" s="79">
        <f t="shared" si="9"/>
        <v>1612.692</v>
      </c>
      <c r="J637" s="78">
        <v>20166</v>
      </c>
      <c r="K637" s="78" t="s">
        <v>173</v>
      </c>
      <c r="L637" s="78">
        <v>2079.9929999999999</v>
      </c>
    </row>
    <row r="638" spans="1:12">
      <c r="A638" s="77">
        <v>170847</v>
      </c>
      <c r="B638" s="77">
        <v>20180</v>
      </c>
      <c r="C638" s="77" t="s">
        <v>180</v>
      </c>
      <c r="D638" s="77">
        <v>2.5</v>
      </c>
      <c r="E638" s="77">
        <v>1</v>
      </c>
      <c r="F638" s="79">
        <f t="shared" si="9"/>
        <v>1612.692</v>
      </c>
      <c r="J638" s="78">
        <v>20168</v>
      </c>
      <c r="K638" s="78" t="s">
        <v>172</v>
      </c>
      <c r="L638" s="78">
        <v>1612.692</v>
      </c>
    </row>
    <row r="639" spans="1:12">
      <c r="A639" s="77">
        <v>84083</v>
      </c>
      <c r="B639" s="77">
        <v>20182</v>
      </c>
      <c r="C639" s="77" t="s">
        <v>180</v>
      </c>
      <c r="D639" s="77">
        <v>3</v>
      </c>
      <c r="E639" s="77">
        <v>1</v>
      </c>
      <c r="F639" s="79">
        <f t="shared" si="9"/>
        <v>8559.1039999999994</v>
      </c>
      <c r="J639" s="78">
        <v>20180</v>
      </c>
      <c r="K639" s="78" t="s">
        <v>172</v>
      </c>
      <c r="L639" s="78">
        <v>1612.692</v>
      </c>
    </row>
    <row r="640" spans="1:12">
      <c r="A640" s="77">
        <v>142538</v>
      </c>
      <c r="B640" s="77">
        <v>20184</v>
      </c>
      <c r="C640" s="77" t="s">
        <v>180</v>
      </c>
      <c r="D640" s="77">
        <v>2.75</v>
      </c>
      <c r="E640" s="77">
        <v>1</v>
      </c>
      <c r="F640" s="79">
        <f t="shared" si="9"/>
        <v>1612.692</v>
      </c>
      <c r="J640" s="78">
        <v>20182</v>
      </c>
      <c r="K640" s="78" t="s">
        <v>172</v>
      </c>
      <c r="L640" s="78">
        <v>8559.1039999999994</v>
      </c>
    </row>
    <row r="641" spans="1:12">
      <c r="A641" s="77">
        <v>98607</v>
      </c>
      <c r="B641" s="77">
        <v>20185</v>
      </c>
      <c r="C641" s="77" t="s">
        <v>180</v>
      </c>
      <c r="D641" s="77">
        <v>2.5</v>
      </c>
      <c r="E641" s="77">
        <v>2</v>
      </c>
      <c r="F641" s="79">
        <f t="shared" si="9"/>
        <v>1904.288</v>
      </c>
      <c r="J641" s="78">
        <v>20184</v>
      </c>
      <c r="K641" s="78" t="s">
        <v>172</v>
      </c>
      <c r="L641" s="78">
        <v>1612.692</v>
      </c>
    </row>
    <row r="642" spans="1:12">
      <c r="A642" s="77">
        <v>142617</v>
      </c>
      <c r="B642" s="77">
        <v>20188</v>
      </c>
      <c r="C642" s="77" t="s">
        <v>180</v>
      </c>
      <c r="D642" s="77">
        <v>1.5</v>
      </c>
      <c r="E642" s="77">
        <v>2</v>
      </c>
      <c r="F642" s="79">
        <f t="shared" si="9"/>
        <v>1612.692</v>
      </c>
      <c r="J642" s="78">
        <v>20185</v>
      </c>
      <c r="K642" s="78" t="s">
        <v>173</v>
      </c>
      <c r="L642" s="78">
        <v>1904.288</v>
      </c>
    </row>
    <row r="643" spans="1:12">
      <c r="A643" s="77">
        <v>74624</v>
      </c>
      <c r="B643" s="77">
        <v>20200</v>
      </c>
      <c r="C643" s="77" t="s">
        <v>180</v>
      </c>
      <c r="D643" s="77">
        <v>3</v>
      </c>
      <c r="E643" s="77">
        <v>2</v>
      </c>
      <c r="F643" s="79">
        <f t="shared" ref="F643:F706" si="10">VLOOKUP(B643,$J$2:$L$1405,3,FALSE)</f>
        <v>1925.059</v>
      </c>
      <c r="J643" s="78">
        <v>20188</v>
      </c>
      <c r="K643" s="78" t="s">
        <v>172</v>
      </c>
      <c r="L643" s="78">
        <v>1612.692</v>
      </c>
    </row>
    <row r="644" spans="1:12">
      <c r="A644" s="77">
        <v>193642</v>
      </c>
      <c r="B644" s="77">
        <v>20206</v>
      </c>
      <c r="C644" s="77" t="s">
        <v>180</v>
      </c>
      <c r="D644" s="77">
        <v>2</v>
      </c>
      <c r="E644" s="77">
        <v>2</v>
      </c>
      <c r="F644" s="79">
        <f t="shared" si="10"/>
        <v>1612.692</v>
      </c>
      <c r="J644" s="78">
        <v>20200</v>
      </c>
      <c r="K644" s="78" t="s">
        <v>172</v>
      </c>
      <c r="L644" s="78">
        <v>1925.059</v>
      </c>
    </row>
    <row r="645" spans="1:12">
      <c r="A645" s="77">
        <v>191828</v>
      </c>
      <c r="B645" s="77">
        <v>20215</v>
      </c>
      <c r="C645" s="77" t="s">
        <v>180</v>
      </c>
      <c r="D645" s="77">
        <v>2</v>
      </c>
      <c r="E645" s="77">
        <v>2</v>
      </c>
      <c r="F645" s="79">
        <f t="shared" si="10"/>
        <v>1612.692</v>
      </c>
      <c r="J645" s="78">
        <v>20206</v>
      </c>
      <c r="K645" s="78" t="s">
        <v>172</v>
      </c>
      <c r="L645" s="78">
        <v>1612.692</v>
      </c>
    </row>
    <row r="646" spans="1:12">
      <c r="A646" s="77">
        <v>683738</v>
      </c>
      <c r="B646" s="77">
        <v>20230</v>
      </c>
      <c r="C646" s="77" t="s">
        <v>180</v>
      </c>
      <c r="D646" s="77">
        <v>1.75</v>
      </c>
      <c r="E646" s="77">
        <v>2</v>
      </c>
      <c r="F646" s="79">
        <f t="shared" si="10"/>
        <v>1144.6790000000001</v>
      </c>
      <c r="J646" s="78">
        <v>20215</v>
      </c>
      <c r="K646" s="78" t="s">
        <v>172</v>
      </c>
      <c r="L646" s="78">
        <v>1612.692</v>
      </c>
    </row>
    <row r="647" spans="1:12">
      <c r="A647" s="77">
        <v>81839</v>
      </c>
      <c r="B647" s="77">
        <v>20244</v>
      </c>
      <c r="C647" s="77" t="s">
        <v>180</v>
      </c>
      <c r="D647" s="77">
        <v>3</v>
      </c>
      <c r="E647" s="77">
        <v>1</v>
      </c>
      <c r="F647" s="79">
        <f t="shared" si="10"/>
        <v>2079.9929999999999</v>
      </c>
      <c r="J647" s="78">
        <v>20230</v>
      </c>
      <c r="K647" s="78" t="s">
        <v>171</v>
      </c>
      <c r="L647" s="78">
        <v>1144.6790000000001</v>
      </c>
    </row>
    <row r="648" spans="1:12">
      <c r="A648" s="77">
        <v>133427</v>
      </c>
      <c r="B648" s="77">
        <v>20245</v>
      </c>
      <c r="C648" s="77" t="s">
        <v>180</v>
      </c>
      <c r="D648" s="77">
        <v>1.6</v>
      </c>
      <c r="E648" s="77">
        <v>1</v>
      </c>
      <c r="F648" s="79">
        <f t="shared" si="10"/>
        <v>2079.9929999999999</v>
      </c>
      <c r="J648" s="78">
        <v>20244</v>
      </c>
      <c r="K648" s="78" t="s">
        <v>173</v>
      </c>
      <c r="L648" s="78">
        <v>2079.9929999999999</v>
      </c>
    </row>
    <row r="649" spans="1:12">
      <c r="A649" s="77">
        <v>690284</v>
      </c>
      <c r="B649" s="77">
        <v>20250</v>
      </c>
      <c r="C649" s="77" t="s">
        <v>180</v>
      </c>
      <c r="D649" s="77">
        <v>3</v>
      </c>
      <c r="E649" s="77">
        <v>1</v>
      </c>
      <c r="F649" s="79">
        <f t="shared" si="10"/>
        <v>12271.31</v>
      </c>
      <c r="J649" s="78">
        <v>20245</v>
      </c>
      <c r="K649" s="78" t="s">
        <v>173</v>
      </c>
      <c r="L649" s="78">
        <v>2079.9929999999999</v>
      </c>
    </row>
    <row r="650" spans="1:12">
      <c r="A650" s="77">
        <v>138834</v>
      </c>
      <c r="B650" s="77">
        <v>20264</v>
      </c>
      <c r="C650" s="77" t="s">
        <v>180</v>
      </c>
      <c r="D650" s="77">
        <v>2.25</v>
      </c>
      <c r="E650" s="77">
        <v>3</v>
      </c>
      <c r="F650" s="79">
        <f t="shared" si="10"/>
        <v>1192.4649999999999</v>
      </c>
      <c r="J650" s="78">
        <v>20250</v>
      </c>
      <c r="K650" s="78" t="s">
        <v>173</v>
      </c>
      <c r="L650" s="78">
        <v>12271.31</v>
      </c>
    </row>
    <row r="651" spans="1:12">
      <c r="A651" s="77">
        <v>100598</v>
      </c>
      <c r="B651" s="77">
        <v>20265</v>
      </c>
      <c r="C651" s="77" t="s">
        <v>180</v>
      </c>
      <c r="D651" s="77">
        <v>3</v>
      </c>
      <c r="E651" s="77">
        <v>2</v>
      </c>
      <c r="F651" s="79">
        <f t="shared" si="10"/>
        <v>1925.059</v>
      </c>
      <c r="J651" s="78">
        <v>20264</v>
      </c>
      <c r="K651" s="78" t="s">
        <v>170</v>
      </c>
      <c r="L651" s="78">
        <v>1192.4649999999999</v>
      </c>
    </row>
    <row r="652" spans="1:12">
      <c r="A652" s="77">
        <v>201520</v>
      </c>
      <c r="B652" s="77">
        <v>20266</v>
      </c>
      <c r="C652" s="77" t="s">
        <v>180</v>
      </c>
      <c r="D652" s="77">
        <v>2.5</v>
      </c>
      <c r="E652" s="77">
        <v>4</v>
      </c>
      <c r="F652" s="79">
        <f t="shared" si="10"/>
        <v>1925.059</v>
      </c>
      <c r="J652" s="78">
        <v>20265</v>
      </c>
      <c r="K652" s="78" t="s">
        <v>172</v>
      </c>
      <c r="L652" s="78">
        <v>1925.059</v>
      </c>
    </row>
    <row r="653" spans="1:12">
      <c r="A653" s="77">
        <v>136353</v>
      </c>
      <c r="B653" s="77">
        <v>20274</v>
      </c>
      <c r="C653" s="77" t="s">
        <v>180</v>
      </c>
      <c r="D653" s="77">
        <v>1.5</v>
      </c>
      <c r="E653" s="77">
        <v>2</v>
      </c>
      <c r="F653" s="79">
        <f t="shared" si="10"/>
        <v>1612.692</v>
      </c>
      <c r="J653" s="78">
        <v>20266</v>
      </c>
      <c r="K653" s="78" t="s">
        <v>172</v>
      </c>
      <c r="L653" s="78">
        <v>1925.059</v>
      </c>
    </row>
    <row r="654" spans="1:12">
      <c r="A654" s="77">
        <v>60853</v>
      </c>
      <c r="B654" s="77">
        <v>20287</v>
      </c>
      <c r="C654" s="77" t="s">
        <v>180</v>
      </c>
      <c r="D654" s="77">
        <v>2.25</v>
      </c>
      <c r="E654" s="77">
        <v>2</v>
      </c>
      <c r="F654" s="79">
        <f t="shared" si="10"/>
        <v>2079.9929999999999</v>
      </c>
      <c r="J654" s="78">
        <v>20274</v>
      </c>
      <c r="K654" s="78" t="s">
        <v>172</v>
      </c>
      <c r="L654" s="78">
        <v>1612.692</v>
      </c>
    </row>
    <row r="655" spans="1:12">
      <c r="A655" s="77">
        <v>94589</v>
      </c>
      <c r="B655" s="77">
        <v>20288</v>
      </c>
      <c r="C655" s="77" t="s">
        <v>180</v>
      </c>
      <c r="D655" s="77">
        <v>2</v>
      </c>
      <c r="E655" s="77">
        <v>2</v>
      </c>
      <c r="F655" s="79">
        <f t="shared" si="10"/>
        <v>1144.6790000000001</v>
      </c>
      <c r="J655" s="78">
        <v>20287</v>
      </c>
      <c r="K655" s="78" t="s">
        <v>173</v>
      </c>
      <c r="L655" s="78">
        <v>2079.9929999999999</v>
      </c>
    </row>
    <row r="656" spans="1:12">
      <c r="A656" s="77">
        <v>69947</v>
      </c>
      <c r="B656" s="77">
        <v>20290</v>
      </c>
      <c r="C656" s="77" t="s">
        <v>180</v>
      </c>
      <c r="D656" s="77">
        <v>3</v>
      </c>
      <c r="E656" s="77">
        <v>2</v>
      </c>
      <c r="F656" s="79">
        <f t="shared" si="10"/>
        <v>1144.6790000000001</v>
      </c>
      <c r="J656" s="78">
        <v>20288</v>
      </c>
      <c r="K656" s="78" t="s">
        <v>171</v>
      </c>
      <c r="L656" s="78">
        <v>1144.6790000000001</v>
      </c>
    </row>
    <row r="657" spans="1:12">
      <c r="A657" s="77">
        <v>55400</v>
      </c>
      <c r="B657" s="77">
        <v>20294</v>
      </c>
      <c r="C657" s="77" t="s">
        <v>180</v>
      </c>
      <c r="D657" s="77">
        <v>4</v>
      </c>
      <c r="E657" s="77">
        <v>3</v>
      </c>
      <c r="F657" s="79">
        <f t="shared" si="10"/>
        <v>2079.9929999999999</v>
      </c>
      <c r="J657" s="78">
        <v>20290</v>
      </c>
      <c r="K657" s="78" t="s">
        <v>171</v>
      </c>
      <c r="L657" s="78">
        <v>1144.6790000000001</v>
      </c>
    </row>
    <row r="658" spans="1:12">
      <c r="A658" s="77">
        <v>131790</v>
      </c>
      <c r="B658" s="77">
        <v>20297</v>
      </c>
      <c r="C658" s="77" t="s">
        <v>180</v>
      </c>
      <c r="D658" s="77">
        <v>5</v>
      </c>
      <c r="E658" s="77">
        <v>1</v>
      </c>
      <c r="F658" s="79">
        <f t="shared" si="10"/>
        <v>1612.692</v>
      </c>
      <c r="J658" s="78">
        <v>20294</v>
      </c>
      <c r="K658" s="78" t="s">
        <v>173</v>
      </c>
      <c r="L658" s="78">
        <v>2079.9929999999999</v>
      </c>
    </row>
    <row r="659" spans="1:12">
      <c r="A659" s="77">
        <v>176347</v>
      </c>
      <c r="B659" s="77">
        <v>20303</v>
      </c>
      <c r="C659" s="77" t="s">
        <v>180</v>
      </c>
      <c r="D659" s="77">
        <v>2.25</v>
      </c>
      <c r="E659" s="77">
        <v>2</v>
      </c>
      <c r="F659" s="79">
        <f t="shared" si="10"/>
        <v>2130.886</v>
      </c>
      <c r="J659" s="78">
        <v>20297</v>
      </c>
      <c r="K659" s="78" t="s">
        <v>172</v>
      </c>
      <c r="L659" s="78">
        <v>1612.692</v>
      </c>
    </row>
    <row r="660" spans="1:12">
      <c r="A660" s="77">
        <v>205132</v>
      </c>
      <c r="B660" s="77">
        <v>20305</v>
      </c>
      <c r="C660" s="77" t="s">
        <v>180</v>
      </c>
      <c r="D660" s="77">
        <v>2.25</v>
      </c>
      <c r="E660" s="77">
        <v>2</v>
      </c>
      <c r="F660" s="79">
        <f t="shared" si="10"/>
        <v>1192.4649999999999</v>
      </c>
      <c r="J660" s="78">
        <v>20303</v>
      </c>
      <c r="K660" s="78" t="s">
        <v>171</v>
      </c>
      <c r="L660" s="78">
        <v>2130.886</v>
      </c>
    </row>
    <row r="661" spans="1:12">
      <c r="A661" s="77">
        <v>681879</v>
      </c>
      <c r="B661" s="77">
        <v>20311</v>
      </c>
      <c r="C661" s="77" t="s">
        <v>180</v>
      </c>
      <c r="D661" s="77">
        <v>2.5</v>
      </c>
      <c r="E661" s="77">
        <v>1</v>
      </c>
      <c r="F661" s="79">
        <f t="shared" si="10"/>
        <v>1612.692</v>
      </c>
      <c r="J661" s="78">
        <v>20305</v>
      </c>
      <c r="K661" s="78" t="s">
        <v>170</v>
      </c>
      <c r="L661" s="78">
        <v>1192.4649999999999</v>
      </c>
    </row>
    <row r="662" spans="1:12">
      <c r="A662" s="77">
        <v>98995</v>
      </c>
      <c r="B662" s="77">
        <v>20324</v>
      </c>
      <c r="C662" s="77" t="s">
        <v>180</v>
      </c>
      <c r="D662" s="77">
        <v>3.25</v>
      </c>
      <c r="E662" s="77">
        <v>1</v>
      </c>
      <c r="F662" s="79">
        <f t="shared" si="10"/>
        <v>1925.059</v>
      </c>
      <c r="J662" s="78">
        <v>20311</v>
      </c>
      <c r="K662" s="78" t="s">
        <v>172</v>
      </c>
      <c r="L662" s="78">
        <v>1612.692</v>
      </c>
    </row>
    <row r="663" spans="1:12">
      <c r="A663" s="77">
        <v>103331</v>
      </c>
      <c r="B663" s="77">
        <v>20325</v>
      </c>
      <c r="C663" s="77" t="s">
        <v>180</v>
      </c>
      <c r="D663" s="77">
        <v>0.25</v>
      </c>
      <c r="E663" s="77">
        <v>2</v>
      </c>
      <c r="F663" s="79">
        <f t="shared" si="10"/>
        <v>1925.059</v>
      </c>
      <c r="J663" s="78">
        <v>20324</v>
      </c>
      <c r="K663" s="78" t="s">
        <v>172</v>
      </c>
      <c r="L663" s="78">
        <v>1925.059</v>
      </c>
    </row>
    <row r="664" spans="1:12">
      <c r="A664" s="77">
        <v>173630</v>
      </c>
      <c r="B664" s="77">
        <v>20338</v>
      </c>
      <c r="C664" s="77" t="s">
        <v>180</v>
      </c>
      <c r="D664" s="77">
        <v>2.5</v>
      </c>
      <c r="E664" s="77">
        <v>2</v>
      </c>
      <c r="F664" s="79">
        <f t="shared" si="10"/>
        <v>1192.4649999999999</v>
      </c>
      <c r="J664" s="78">
        <v>20325</v>
      </c>
      <c r="K664" s="78" t="s">
        <v>172</v>
      </c>
      <c r="L664" s="78">
        <v>1925.059</v>
      </c>
    </row>
    <row r="665" spans="1:12">
      <c r="A665" s="77">
        <v>147579</v>
      </c>
      <c r="B665" s="77">
        <v>20340</v>
      </c>
      <c r="C665" s="77" t="s">
        <v>180</v>
      </c>
      <c r="D665" s="77">
        <v>1.5</v>
      </c>
      <c r="E665" s="77">
        <v>1</v>
      </c>
      <c r="F665" s="79">
        <f t="shared" si="10"/>
        <v>1612.692</v>
      </c>
      <c r="J665" s="78">
        <v>20338</v>
      </c>
      <c r="K665" s="78" t="s">
        <v>170</v>
      </c>
      <c r="L665" s="78">
        <v>1192.4649999999999</v>
      </c>
    </row>
    <row r="666" spans="1:12">
      <c r="A666" s="77">
        <v>87479</v>
      </c>
      <c r="B666" s="77">
        <v>20344</v>
      </c>
      <c r="C666" s="77" t="s">
        <v>180</v>
      </c>
      <c r="D666" s="77">
        <v>1.3</v>
      </c>
      <c r="E666" s="77">
        <v>2</v>
      </c>
      <c r="F666" s="79">
        <f t="shared" si="10"/>
        <v>1144.6790000000001</v>
      </c>
      <c r="J666" s="78">
        <v>20340</v>
      </c>
      <c r="K666" s="78" t="s">
        <v>172</v>
      </c>
      <c r="L666" s="78">
        <v>1612.692</v>
      </c>
    </row>
    <row r="667" spans="1:12">
      <c r="A667" s="77">
        <v>160272</v>
      </c>
      <c r="B667" s="77">
        <v>20351</v>
      </c>
      <c r="C667" s="77" t="s">
        <v>180</v>
      </c>
      <c r="D667" s="77">
        <v>1.25</v>
      </c>
      <c r="E667" s="77">
        <v>1</v>
      </c>
      <c r="F667" s="79">
        <f t="shared" si="10"/>
        <v>2130.886</v>
      </c>
      <c r="J667" s="78">
        <v>20344</v>
      </c>
      <c r="K667" s="78" t="s">
        <v>171</v>
      </c>
      <c r="L667" s="78">
        <v>1144.6790000000001</v>
      </c>
    </row>
    <row r="668" spans="1:12">
      <c r="A668" s="77">
        <v>175278</v>
      </c>
      <c r="B668" s="77">
        <v>20357</v>
      </c>
      <c r="C668" s="77" t="s">
        <v>180</v>
      </c>
      <c r="D668" s="77">
        <v>2.75</v>
      </c>
      <c r="E668" s="77">
        <v>2</v>
      </c>
      <c r="F668" s="79">
        <f t="shared" si="10"/>
        <v>1612.692</v>
      </c>
      <c r="J668" s="78">
        <v>20351</v>
      </c>
      <c r="K668" s="78" t="s">
        <v>171</v>
      </c>
      <c r="L668" s="78">
        <v>2130.886</v>
      </c>
    </row>
    <row r="669" spans="1:12">
      <c r="A669" s="77">
        <v>70412</v>
      </c>
      <c r="B669" s="77">
        <v>20360</v>
      </c>
      <c r="C669" s="77" t="s">
        <v>180</v>
      </c>
      <c r="D669" s="77">
        <v>2</v>
      </c>
      <c r="E669" s="77">
        <v>2</v>
      </c>
      <c r="F669" s="79">
        <f t="shared" si="10"/>
        <v>1904.288</v>
      </c>
      <c r="J669" s="78">
        <v>20357</v>
      </c>
      <c r="K669" s="78" t="s">
        <v>172</v>
      </c>
      <c r="L669" s="78">
        <v>1612.692</v>
      </c>
    </row>
    <row r="670" spans="1:12">
      <c r="A670" s="77">
        <v>32175</v>
      </c>
      <c r="B670" s="77">
        <v>20363</v>
      </c>
      <c r="C670" s="77" t="s">
        <v>180</v>
      </c>
      <c r="D670" s="77">
        <v>1.5</v>
      </c>
      <c r="E670" s="77">
        <v>2</v>
      </c>
      <c r="F670" s="79">
        <f t="shared" si="10"/>
        <v>2130.886</v>
      </c>
      <c r="J670" s="78">
        <v>20360</v>
      </c>
      <c r="K670" s="78" t="s">
        <v>173</v>
      </c>
      <c r="L670" s="78">
        <v>1904.288</v>
      </c>
    </row>
    <row r="671" spans="1:12">
      <c r="A671" s="77">
        <v>121183</v>
      </c>
      <c r="B671" s="77">
        <v>20371</v>
      </c>
      <c r="C671" s="77" t="s">
        <v>180</v>
      </c>
      <c r="D671" s="77">
        <v>2.5</v>
      </c>
      <c r="E671" s="77">
        <v>1</v>
      </c>
      <c r="F671" s="79">
        <f t="shared" si="10"/>
        <v>1925.059</v>
      </c>
      <c r="J671" s="78">
        <v>20363</v>
      </c>
      <c r="K671" s="78" t="s">
        <v>171</v>
      </c>
      <c r="L671" s="78">
        <v>2130.886</v>
      </c>
    </row>
    <row r="672" spans="1:12">
      <c r="A672" s="77">
        <v>45980</v>
      </c>
      <c r="B672" s="77">
        <v>20374</v>
      </c>
      <c r="C672" s="77" t="s">
        <v>180</v>
      </c>
      <c r="D672" s="77">
        <v>2.2000000000000002</v>
      </c>
      <c r="E672" s="77">
        <v>2</v>
      </c>
      <c r="F672" s="79">
        <f t="shared" si="10"/>
        <v>8264.9449999999997</v>
      </c>
      <c r="J672" s="78">
        <v>20371</v>
      </c>
      <c r="K672" s="78" t="s">
        <v>172</v>
      </c>
      <c r="L672" s="78">
        <v>1925.059</v>
      </c>
    </row>
    <row r="673" spans="1:12">
      <c r="A673" s="77">
        <v>144581</v>
      </c>
      <c r="B673" s="77">
        <v>20381</v>
      </c>
      <c r="C673" s="77" t="s">
        <v>180</v>
      </c>
      <c r="D673" s="77">
        <v>2.5</v>
      </c>
      <c r="E673" s="77">
        <v>2</v>
      </c>
      <c r="F673" s="79">
        <f t="shared" si="10"/>
        <v>1192.4649999999999</v>
      </c>
      <c r="J673" s="78">
        <v>20374</v>
      </c>
      <c r="K673" s="78" t="s">
        <v>172</v>
      </c>
      <c r="L673" s="78">
        <v>8264.9449999999997</v>
      </c>
    </row>
    <row r="674" spans="1:12">
      <c r="A674" s="77">
        <v>158955</v>
      </c>
      <c r="B674" s="77">
        <v>20384</v>
      </c>
      <c r="C674" s="77" t="s">
        <v>180</v>
      </c>
      <c r="D674" s="77">
        <v>2</v>
      </c>
      <c r="E674" s="77">
        <v>1</v>
      </c>
      <c r="F674" s="79">
        <f t="shared" si="10"/>
        <v>2130.886</v>
      </c>
      <c r="J674" s="78">
        <v>20381</v>
      </c>
      <c r="K674" s="78" t="s">
        <v>170</v>
      </c>
      <c r="L674" s="78">
        <v>1192.4649999999999</v>
      </c>
    </row>
    <row r="675" spans="1:12">
      <c r="A675" s="77">
        <v>798475</v>
      </c>
      <c r="B675" s="77">
        <v>20390</v>
      </c>
      <c r="C675" s="77" t="s">
        <v>180</v>
      </c>
      <c r="D675" s="77">
        <v>1.5</v>
      </c>
      <c r="E675" s="77">
        <v>1</v>
      </c>
      <c r="F675" s="79">
        <f t="shared" si="10"/>
        <v>8264.9449999999997</v>
      </c>
      <c r="J675" s="78">
        <v>20384</v>
      </c>
      <c r="K675" s="78" t="s">
        <v>171</v>
      </c>
      <c r="L675" s="78">
        <v>2130.886</v>
      </c>
    </row>
    <row r="676" spans="1:12">
      <c r="A676" s="77">
        <v>63855</v>
      </c>
      <c r="B676" s="77">
        <v>20392</v>
      </c>
      <c r="C676" s="77" t="s">
        <v>180</v>
      </c>
      <c r="D676" s="77">
        <v>3</v>
      </c>
      <c r="E676" s="77">
        <v>5</v>
      </c>
      <c r="F676" s="79">
        <f t="shared" si="10"/>
        <v>1904.288</v>
      </c>
      <c r="J676" s="78">
        <v>20390</v>
      </c>
      <c r="K676" s="78" t="s">
        <v>172</v>
      </c>
      <c r="L676" s="78">
        <v>8264.9449999999997</v>
      </c>
    </row>
    <row r="677" spans="1:12">
      <c r="A677" s="77">
        <v>45660</v>
      </c>
      <c r="B677" s="77">
        <v>20395</v>
      </c>
      <c r="C677" s="77" t="s">
        <v>180</v>
      </c>
      <c r="D677" s="77">
        <v>2.2000000000000002</v>
      </c>
      <c r="E677" s="77">
        <v>1</v>
      </c>
      <c r="F677" s="79">
        <f t="shared" si="10"/>
        <v>8264.9449999999997</v>
      </c>
      <c r="J677" s="78">
        <v>20392</v>
      </c>
      <c r="K677" s="78" t="s">
        <v>173</v>
      </c>
      <c r="L677" s="78">
        <v>1904.288</v>
      </c>
    </row>
    <row r="678" spans="1:12">
      <c r="A678" s="77">
        <v>156022</v>
      </c>
      <c r="B678" s="77">
        <v>20408</v>
      </c>
      <c r="C678" s="77" t="s">
        <v>180</v>
      </c>
      <c r="D678" s="77">
        <v>2.5</v>
      </c>
      <c r="E678" s="77">
        <v>2</v>
      </c>
      <c r="F678" s="79">
        <f t="shared" si="10"/>
        <v>2079.9929999999999</v>
      </c>
      <c r="J678" s="78">
        <v>20395</v>
      </c>
      <c r="K678" s="78" t="s">
        <v>172</v>
      </c>
      <c r="L678" s="78">
        <v>8264.9449999999997</v>
      </c>
    </row>
    <row r="679" spans="1:12">
      <c r="A679" s="77">
        <v>720240</v>
      </c>
      <c r="B679" s="77">
        <v>20411</v>
      </c>
      <c r="C679" s="77" t="s">
        <v>180</v>
      </c>
      <c r="D679" s="77">
        <v>2</v>
      </c>
      <c r="E679" s="77">
        <v>1</v>
      </c>
      <c r="F679" s="79">
        <f t="shared" si="10"/>
        <v>3785.7640000000001</v>
      </c>
      <c r="J679" s="78">
        <v>20408</v>
      </c>
      <c r="K679" s="78" t="s">
        <v>173</v>
      </c>
      <c r="L679" s="78">
        <v>2079.9929999999999</v>
      </c>
    </row>
    <row r="680" spans="1:12">
      <c r="A680" s="77">
        <v>81481</v>
      </c>
      <c r="B680" s="77">
        <v>20414</v>
      </c>
      <c r="C680" s="77" t="s">
        <v>180</v>
      </c>
      <c r="D680" s="77">
        <v>3.6</v>
      </c>
      <c r="E680" s="77">
        <v>2</v>
      </c>
      <c r="F680" s="79">
        <f t="shared" si="10"/>
        <v>2079.9929999999999</v>
      </c>
      <c r="J680" s="78">
        <v>20411</v>
      </c>
      <c r="K680" s="78" t="s">
        <v>170</v>
      </c>
      <c r="L680" s="78">
        <v>3785.7640000000001</v>
      </c>
    </row>
    <row r="681" spans="1:12">
      <c r="A681" s="77">
        <v>207770</v>
      </c>
      <c r="B681" s="77">
        <v>20426</v>
      </c>
      <c r="C681" s="77" t="s">
        <v>180</v>
      </c>
      <c r="D681" s="77">
        <v>2.5</v>
      </c>
      <c r="E681" s="77">
        <v>1</v>
      </c>
      <c r="F681" s="79">
        <f t="shared" si="10"/>
        <v>1904.288</v>
      </c>
      <c r="J681" s="78">
        <v>20414</v>
      </c>
      <c r="K681" s="78" t="s">
        <v>173</v>
      </c>
      <c r="L681" s="78">
        <v>2079.9929999999999</v>
      </c>
    </row>
    <row r="682" spans="1:12">
      <c r="A682" s="77">
        <v>72110</v>
      </c>
      <c r="B682" s="77">
        <v>20430</v>
      </c>
      <c r="C682" s="77" t="s">
        <v>180</v>
      </c>
      <c r="D682" s="77">
        <v>4</v>
      </c>
      <c r="E682" s="77">
        <v>2</v>
      </c>
      <c r="F682" s="79">
        <f t="shared" si="10"/>
        <v>2079.9929999999999</v>
      </c>
      <c r="J682" s="78">
        <v>20426</v>
      </c>
      <c r="K682" s="78" t="s">
        <v>173</v>
      </c>
      <c r="L682" s="78">
        <v>1904.288</v>
      </c>
    </row>
    <row r="683" spans="1:12">
      <c r="A683" s="77">
        <v>690509</v>
      </c>
      <c r="B683" s="77">
        <v>20433</v>
      </c>
      <c r="C683" s="77" t="s">
        <v>180</v>
      </c>
      <c r="D683" s="77">
        <v>2.75</v>
      </c>
      <c r="E683" s="77">
        <v>1</v>
      </c>
      <c r="F683" s="79">
        <f t="shared" si="10"/>
        <v>1612.692</v>
      </c>
      <c r="J683" s="78">
        <v>20430</v>
      </c>
      <c r="K683" s="78" t="s">
        <v>173</v>
      </c>
      <c r="L683" s="78">
        <v>2079.9929999999999</v>
      </c>
    </row>
    <row r="684" spans="1:12">
      <c r="A684" s="77">
        <v>210929</v>
      </c>
      <c r="B684" s="77">
        <v>20440</v>
      </c>
      <c r="C684" s="77" t="s">
        <v>180</v>
      </c>
      <c r="D684" s="77">
        <v>5</v>
      </c>
      <c r="E684" s="77">
        <v>2</v>
      </c>
      <c r="F684" s="79">
        <f t="shared" si="10"/>
        <v>1925.059</v>
      </c>
      <c r="J684" s="78">
        <v>20433</v>
      </c>
      <c r="K684" s="78" t="s">
        <v>172</v>
      </c>
      <c r="L684" s="78">
        <v>1612.692</v>
      </c>
    </row>
    <row r="685" spans="1:12">
      <c r="A685" s="77">
        <v>100132</v>
      </c>
      <c r="B685" s="77">
        <v>20445</v>
      </c>
      <c r="C685" s="77" t="s">
        <v>180</v>
      </c>
      <c r="D685" s="77">
        <v>1.5</v>
      </c>
      <c r="E685" s="77">
        <v>2</v>
      </c>
      <c r="F685" s="79">
        <f t="shared" si="10"/>
        <v>1144.6790000000001</v>
      </c>
      <c r="J685" s="78">
        <v>20440</v>
      </c>
      <c r="K685" s="78" t="s">
        <v>172</v>
      </c>
      <c r="L685" s="78">
        <v>1925.059</v>
      </c>
    </row>
    <row r="686" spans="1:12">
      <c r="A686" s="77">
        <v>200603</v>
      </c>
      <c r="B686" s="77">
        <v>20446</v>
      </c>
      <c r="C686" s="77" t="s">
        <v>180</v>
      </c>
      <c r="D686" s="77">
        <v>2.25</v>
      </c>
      <c r="E686" s="77">
        <v>1</v>
      </c>
      <c r="F686" s="79">
        <f t="shared" si="10"/>
        <v>1612.692</v>
      </c>
      <c r="J686" s="78">
        <v>20445</v>
      </c>
      <c r="K686" s="78" t="s">
        <v>171</v>
      </c>
      <c r="L686" s="78">
        <v>1144.6790000000001</v>
      </c>
    </row>
    <row r="687" spans="1:12">
      <c r="A687" s="77">
        <v>151314</v>
      </c>
      <c r="B687" s="77">
        <v>20448</v>
      </c>
      <c r="C687" s="77" t="s">
        <v>180</v>
      </c>
      <c r="D687" s="77">
        <v>2</v>
      </c>
      <c r="E687" s="77">
        <v>1</v>
      </c>
      <c r="F687" s="79">
        <f t="shared" si="10"/>
        <v>1612.692</v>
      </c>
      <c r="J687" s="78">
        <v>20446</v>
      </c>
      <c r="K687" s="78" t="s">
        <v>172</v>
      </c>
      <c r="L687" s="78">
        <v>1612.692</v>
      </c>
    </row>
    <row r="688" spans="1:12">
      <c r="A688" s="77">
        <v>125182</v>
      </c>
      <c r="B688" s="77">
        <v>20457</v>
      </c>
      <c r="C688" s="77" t="s">
        <v>180</v>
      </c>
      <c r="D688" s="77">
        <v>2</v>
      </c>
      <c r="E688" s="77">
        <v>2</v>
      </c>
      <c r="F688" s="79">
        <f t="shared" si="10"/>
        <v>1612.692</v>
      </c>
      <c r="J688" s="78">
        <v>20448</v>
      </c>
      <c r="K688" s="78" t="s">
        <v>172</v>
      </c>
      <c r="L688" s="78">
        <v>1612.692</v>
      </c>
    </row>
    <row r="689" spans="1:12">
      <c r="A689" s="77">
        <v>32984</v>
      </c>
      <c r="B689" s="77">
        <v>20458</v>
      </c>
      <c r="C689" s="77" t="s">
        <v>180</v>
      </c>
      <c r="D689" s="77">
        <v>1.5</v>
      </c>
      <c r="E689" s="77">
        <v>2</v>
      </c>
      <c r="F689" s="79">
        <f t="shared" si="10"/>
        <v>3785.7640000000001</v>
      </c>
      <c r="J689" s="78">
        <v>20457</v>
      </c>
      <c r="K689" s="78" t="s">
        <v>172</v>
      </c>
      <c r="L689" s="78">
        <v>1612.692</v>
      </c>
    </row>
    <row r="690" spans="1:12">
      <c r="A690" s="77">
        <v>223744</v>
      </c>
      <c r="B690" s="77">
        <v>20466</v>
      </c>
      <c r="C690" s="77" t="s">
        <v>180</v>
      </c>
      <c r="D690" s="77">
        <v>2.5</v>
      </c>
      <c r="E690" s="77">
        <v>2</v>
      </c>
      <c r="F690" s="79">
        <f t="shared" si="10"/>
        <v>2130.886</v>
      </c>
      <c r="J690" s="78">
        <v>20458</v>
      </c>
      <c r="K690" s="78" t="s">
        <v>170</v>
      </c>
      <c r="L690" s="78">
        <v>3785.7640000000001</v>
      </c>
    </row>
    <row r="691" spans="1:12">
      <c r="A691" s="77">
        <v>855946</v>
      </c>
      <c r="B691" s="77">
        <v>20469</v>
      </c>
      <c r="C691" s="77" t="s">
        <v>180</v>
      </c>
      <c r="D691" s="77">
        <v>2</v>
      </c>
      <c r="E691" s="77">
        <v>3</v>
      </c>
      <c r="F691" s="79">
        <f t="shared" si="10"/>
        <v>1904.288</v>
      </c>
      <c r="J691" s="78">
        <v>20466</v>
      </c>
      <c r="K691" s="78" t="s">
        <v>171</v>
      </c>
      <c r="L691" s="78">
        <v>2130.886</v>
      </c>
    </row>
    <row r="692" spans="1:12">
      <c r="A692" s="77">
        <v>193508</v>
      </c>
      <c r="B692" s="77">
        <v>20472</v>
      </c>
      <c r="C692" s="77" t="s">
        <v>180</v>
      </c>
      <c r="D692" s="77">
        <v>2.5</v>
      </c>
      <c r="E692" s="77">
        <v>3</v>
      </c>
      <c r="F692" s="79">
        <f t="shared" si="10"/>
        <v>1612.692</v>
      </c>
      <c r="J692" s="78">
        <v>20469</v>
      </c>
      <c r="K692" s="78" t="s">
        <v>173</v>
      </c>
      <c r="L692" s="78">
        <v>1904.288</v>
      </c>
    </row>
    <row r="693" spans="1:12">
      <c r="A693" s="77">
        <v>94411</v>
      </c>
      <c r="B693" s="77">
        <v>20477</v>
      </c>
      <c r="C693" s="77" t="s">
        <v>180</v>
      </c>
      <c r="D693" s="77">
        <v>2.25</v>
      </c>
      <c r="E693" s="77">
        <v>2</v>
      </c>
      <c r="F693" s="79">
        <f t="shared" si="10"/>
        <v>1904.288</v>
      </c>
      <c r="J693" s="78">
        <v>20472</v>
      </c>
      <c r="K693" s="78" t="s">
        <v>172</v>
      </c>
      <c r="L693" s="78">
        <v>1612.692</v>
      </c>
    </row>
    <row r="694" spans="1:12">
      <c r="A694" s="77">
        <v>172366</v>
      </c>
      <c r="B694" s="77">
        <v>20485</v>
      </c>
      <c r="C694" s="77" t="s">
        <v>180</v>
      </c>
      <c r="D694" s="77">
        <v>4</v>
      </c>
      <c r="E694" s="77">
        <v>2</v>
      </c>
      <c r="F694" s="79">
        <f t="shared" si="10"/>
        <v>3785.7640000000001</v>
      </c>
      <c r="J694" s="78">
        <v>20477</v>
      </c>
      <c r="K694" s="78" t="s">
        <v>173</v>
      </c>
      <c r="L694" s="78">
        <v>1904.288</v>
      </c>
    </row>
    <row r="695" spans="1:12">
      <c r="A695" s="77">
        <v>155040</v>
      </c>
      <c r="B695" s="77">
        <v>20491</v>
      </c>
      <c r="C695" s="77" t="s">
        <v>180</v>
      </c>
      <c r="D695" s="77">
        <v>2.5</v>
      </c>
      <c r="E695" s="77">
        <v>2</v>
      </c>
      <c r="F695" s="79">
        <f t="shared" si="10"/>
        <v>1192.4649999999999</v>
      </c>
      <c r="J695" s="78">
        <v>20485</v>
      </c>
      <c r="K695" s="78" t="s">
        <v>170</v>
      </c>
      <c r="L695" s="78">
        <v>3785.7640000000001</v>
      </c>
    </row>
    <row r="696" spans="1:12">
      <c r="A696" s="77">
        <v>136229</v>
      </c>
      <c r="B696" s="77">
        <v>20505</v>
      </c>
      <c r="C696" s="77" t="s">
        <v>180</v>
      </c>
      <c r="D696" s="77">
        <v>2</v>
      </c>
      <c r="E696" s="77">
        <v>3</v>
      </c>
      <c r="F696" s="79">
        <f t="shared" si="10"/>
        <v>1612.692</v>
      </c>
      <c r="J696" s="78">
        <v>20491</v>
      </c>
      <c r="K696" s="78" t="s">
        <v>170</v>
      </c>
      <c r="L696" s="78">
        <v>1192.4649999999999</v>
      </c>
    </row>
    <row r="697" spans="1:12">
      <c r="A697" s="77">
        <v>212301</v>
      </c>
      <c r="B697" s="77">
        <v>20516</v>
      </c>
      <c r="C697" s="77" t="s">
        <v>180</v>
      </c>
      <c r="D697" s="77">
        <v>2.8</v>
      </c>
      <c r="E697" s="77">
        <v>2</v>
      </c>
      <c r="F697" s="79">
        <f t="shared" si="10"/>
        <v>2079.9929999999999</v>
      </c>
      <c r="J697" s="78">
        <v>20505</v>
      </c>
      <c r="K697" s="78" t="s">
        <v>172</v>
      </c>
      <c r="L697" s="78">
        <v>1612.692</v>
      </c>
    </row>
    <row r="698" spans="1:12">
      <c r="A698" s="77">
        <v>73199</v>
      </c>
      <c r="B698" s="77">
        <v>20540</v>
      </c>
      <c r="C698" s="77" t="s">
        <v>180</v>
      </c>
      <c r="D698" s="77">
        <v>1.5</v>
      </c>
      <c r="E698" s="77">
        <v>2</v>
      </c>
      <c r="F698" s="79">
        <f t="shared" si="10"/>
        <v>1904.288</v>
      </c>
      <c r="J698" s="78">
        <v>20516</v>
      </c>
      <c r="K698" s="78" t="s">
        <v>173</v>
      </c>
      <c r="L698" s="78">
        <v>2079.9929999999999</v>
      </c>
    </row>
    <row r="699" spans="1:12">
      <c r="A699" s="77">
        <v>71932</v>
      </c>
      <c r="B699" s="77">
        <v>20547</v>
      </c>
      <c r="C699" s="77" t="s">
        <v>180</v>
      </c>
      <c r="D699" s="77">
        <v>4</v>
      </c>
      <c r="E699" s="77">
        <v>2</v>
      </c>
      <c r="F699" s="79">
        <f t="shared" si="10"/>
        <v>2079.9929999999999</v>
      </c>
      <c r="J699" s="78">
        <v>20540</v>
      </c>
      <c r="K699" s="78" t="s">
        <v>173</v>
      </c>
      <c r="L699" s="78">
        <v>1904.288</v>
      </c>
    </row>
    <row r="700" spans="1:12">
      <c r="A700" s="77">
        <v>684110</v>
      </c>
      <c r="B700" s="77">
        <v>20553</v>
      </c>
      <c r="C700" s="77" t="s">
        <v>180</v>
      </c>
      <c r="D700" s="77">
        <v>2.5</v>
      </c>
      <c r="E700" s="77">
        <v>2</v>
      </c>
      <c r="F700" s="79">
        <f t="shared" si="10"/>
        <v>3785.7640000000001</v>
      </c>
      <c r="J700" s="78">
        <v>20547</v>
      </c>
      <c r="K700" s="78" t="s">
        <v>173</v>
      </c>
      <c r="L700" s="78">
        <v>2079.9929999999999</v>
      </c>
    </row>
    <row r="701" spans="1:12">
      <c r="A701" s="77">
        <v>148443</v>
      </c>
      <c r="B701" s="77">
        <v>20559</v>
      </c>
      <c r="C701" s="77" t="s">
        <v>180</v>
      </c>
      <c r="D701" s="77">
        <v>2.5</v>
      </c>
      <c r="E701" s="77">
        <v>1</v>
      </c>
      <c r="F701" s="79">
        <f t="shared" si="10"/>
        <v>1192.4649999999999</v>
      </c>
      <c r="J701" s="78">
        <v>20553</v>
      </c>
      <c r="K701" s="78" t="s">
        <v>170</v>
      </c>
      <c r="L701" s="78">
        <v>3785.7640000000001</v>
      </c>
    </row>
    <row r="702" spans="1:12">
      <c r="A702" s="77">
        <v>139258</v>
      </c>
      <c r="B702" s="77">
        <v>20565</v>
      </c>
      <c r="C702" s="77" t="s">
        <v>180</v>
      </c>
      <c r="D702" s="77">
        <v>2.5</v>
      </c>
      <c r="E702" s="77">
        <v>2</v>
      </c>
      <c r="F702" s="79">
        <f t="shared" si="10"/>
        <v>1192.4649999999999</v>
      </c>
      <c r="J702" s="78">
        <v>20559</v>
      </c>
      <c r="K702" s="78" t="s">
        <v>170</v>
      </c>
      <c r="L702" s="78">
        <v>1192.4649999999999</v>
      </c>
    </row>
    <row r="703" spans="1:12">
      <c r="A703" s="77">
        <v>125073</v>
      </c>
      <c r="B703" s="77">
        <v>20574</v>
      </c>
      <c r="C703" s="77" t="s">
        <v>180</v>
      </c>
      <c r="D703" s="77">
        <v>4.8</v>
      </c>
      <c r="E703" s="77">
        <v>2</v>
      </c>
      <c r="F703" s="79">
        <f t="shared" si="10"/>
        <v>2079.9929999999999</v>
      </c>
      <c r="J703" s="78">
        <v>20565</v>
      </c>
      <c r="K703" s="78" t="s">
        <v>170</v>
      </c>
      <c r="L703" s="78">
        <v>1192.4649999999999</v>
      </c>
    </row>
    <row r="704" spans="1:12">
      <c r="A704" s="77">
        <v>193163</v>
      </c>
      <c r="B704" s="77">
        <v>20586</v>
      </c>
      <c r="C704" s="77" t="s">
        <v>180</v>
      </c>
      <c r="D704" s="77">
        <v>2.5</v>
      </c>
      <c r="E704" s="77">
        <v>2</v>
      </c>
      <c r="F704" s="79">
        <f t="shared" si="10"/>
        <v>1192.4649999999999</v>
      </c>
      <c r="J704" s="78">
        <v>20574</v>
      </c>
      <c r="K704" s="78" t="s">
        <v>173</v>
      </c>
      <c r="L704" s="78">
        <v>2079.9929999999999</v>
      </c>
    </row>
    <row r="705" spans="1:12">
      <c r="A705" s="77">
        <v>161361</v>
      </c>
      <c r="B705" s="77">
        <v>20593</v>
      </c>
      <c r="C705" s="77" t="s">
        <v>180</v>
      </c>
      <c r="D705" s="77">
        <v>2.25</v>
      </c>
      <c r="E705" s="77">
        <v>1</v>
      </c>
      <c r="F705" s="79">
        <f t="shared" si="10"/>
        <v>2130.886</v>
      </c>
      <c r="J705" s="78">
        <v>20586</v>
      </c>
      <c r="K705" s="78" t="s">
        <v>170</v>
      </c>
      <c r="L705" s="78">
        <v>1192.4649999999999</v>
      </c>
    </row>
    <row r="706" spans="1:12">
      <c r="A706" s="77">
        <v>77092</v>
      </c>
      <c r="B706" s="77">
        <v>20595</v>
      </c>
      <c r="C706" s="77" t="s">
        <v>180</v>
      </c>
      <c r="D706" s="77">
        <v>2.5</v>
      </c>
      <c r="E706" s="77">
        <v>2</v>
      </c>
      <c r="F706" s="79">
        <f t="shared" si="10"/>
        <v>1192.4649999999999</v>
      </c>
      <c r="J706" s="78">
        <v>20593</v>
      </c>
      <c r="K706" s="78" t="s">
        <v>171</v>
      </c>
      <c r="L706" s="78">
        <v>2130.886</v>
      </c>
    </row>
    <row r="707" spans="1:12">
      <c r="A707" s="77">
        <v>181165</v>
      </c>
      <c r="B707" s="77">
        <v>20601</v>
      </c>
      <c r="C707" s="77" t="s">
        <v>180</v>
      </c>
      <c r="D707" s="77">
        <v>2.2999999999999998</v>
      </c>
      <c r="E707" s="77">
        <v>1</v>
      </c>
      <c r="F707" s="79">
        <f t="shared" ref="F707:F770" si="11">VLOOKUP(B707,$J$2:$L$1405,3,FALSE)</f>
        <v>2130.886</v>
      </c>
      <c r="J707" s="78">
        <v>20595</v>
      </c>
      <c r="K707" s="78" t="s">
        <v>170</v>
      </c>
      <c r="L707" s="78">
        <v>1192.4649999999999</v>
      </c>
    </row>
    <row r="708" spans="1:12">
      <c r="A708" s="77">
        <v>167768</v>
      </c>
      <c r="B708" s="77">
        <v>20603</v>
      </c>
      <c r="C708" s="77" t="s">
        <v>180</v>
      </c>
      <c r="D708" s="77">
        <v>2.5</v>
      </c>
      <c r="E708" s="77">
        <v>3</v>
      </c>
      <c r="F708" s="79">
        <f t="shared" si="11"/>
        <v>1192.4649999999999</v>
      </c>
      <c r="J708" s="78">
        <v>20601</v>
      </c>
      <c r="K708" s="78" t="s">
        <v>171</v>
      </c>
      <c r="L708" s="78">
        <v>2130.886</v>
      </c>
    </row>
    <row r="709" spans="1:12">
      <c r="A709" s="77">
        <v>202110</v>
      </c>
      <c r="B709" s="77">
        <v>20606</v>
      </c>
      <c r="C709" s="77" t="s">
        <v>180</v>
      </c>
      <c r="D709" s="77">
        <v>3</v>
      </c>
      <c r="E709" s="77">
        <v>3</v>
      </c>
      <c r="F709" s="79">
        <f t="shared" si="11"/>
        <v>1612.692</v>
      </c>
      <c r="J709" s="78">
        <v>20603</v>
      </c>
      <c r="K709" s="78" t="s">
        <v>170</v>
      </c>
      <c r="L709" s="78">
        <v>1192.4649999999999</v>
      </c>
    </row>
    <row r="710" spans="1:12">
      <c r="A710" s="77">
        <v>726805</v>
      </c>
      <c r="B710" s="77">
        <v>20612</v>
      </c>
      <c r="C710" s="77" t="s">
        <v>180</v>
      </c>
      <c r="D710" s="77">
        <v>2.5</v>
      </c>
      <c r="E710" s="77">
        <v>1</v>
      </c>
      <c r="F710" s="79">
        <f t="shared" si="11"/>
        <v>2079.9929999999999</v>
      </c>
      <c r="J710" s="78">
        <v>20606</v>
      </c>
      <c r="K710" s="78" t="s">
        <v>172</v>
      </c>
      <c r="L710" s="78">
        <v>1612.692</v>
      </c>
    </row>
    <row r="711" spans="1:12">
      <c r="A711" s="77">
        <v>112056</v>
      </c>
      <c r="B711" s="77">
        <v>20613</v>
      </c>
      <c r="C711" s="77" t="s">
        <v>180</v>
      </c>
      <c r="D711" s="77">
        <v>2.5</v>
      </c>
      <c r="E711" s="77">
        <v>2</v>
      </c>
      <c r="F711" s="79">
        <f t="shared" si="11"/>
        <v>1904.288</v>
      </c>
      <c r="J711" s="78">
        <v>20612</v>
      </c>
      <c r="K711" s="78" t="s">
        <v>173</v>
      </c>
      <c r="L711" s="78">
        <v>2079.9929999999999</v>
      </c>
    </row>
    <row r="712" spans="1:12">
      <c r="A712" s="77">
        <v>165637</v>
      </c>
      <c r="B712" s="77">
        <v>20618</v>
      </c>
      <c r="C712" s="77" t="s">
        <v>180</v>
      </c>
      <c r="D712" s="77">
        <v>1.5</v>
      </c>
      <c r="E712" s="77">
        <v>1</v>
      </c>
      <c r="F712" s="79">
        <f t="shared" si="11"/>
        <v>1612.692</v>
      </c>
      <c r="J712" s="78">
        <v>20613</v>
      </c>
      <c r="K712" s="78" t="s">
        <v>173</v>
      </c>
      <c r="L712" s="78">
        <v>1904.288</v>
      </c>
    </row>
    <row r="713" spans="1:12">
      <c r="A713" s="77">
        <v>133820</v>
      </c>
      <c r="B713" s="77">
        <v>20619</v>
      </c>
      <c r="C713" s="77" t="s">
        <v>180</v>
      </c>
      <c r="D713" s="77">
        <v>2.25</v>
      </c>
      <c r="E713" s="77">
        <v>2</v>
      </c>
      <c r="F713" s="79">
        <f t="shared" si="11"/>
        <v>2079.9929999999999</v>
      </c>
      <c r="J713" s="78">
        <v>20618</v>
      </c>
      <c r="K713" s="78" t="s">
        <v>172</v>
      </c>
      <c r="L713" s="78">
        <v>1612.692</v>
      </c>
    </row>
    <row r="714" spans="1:12">
      <c r="A714" s="77">
        <v>121726</v>
      </c>
      <c r="B714" s="77">
        <v>20626</v>
      </c>
      <c r="C714" s="77" t="s">
        <v>180</v>
      </c>
      <c r="D714" s="77">
        <v>2.5</v>
      </c>
      <c r="E714" s="77">
        <v>2</v>
      </c>
      <c r="F714" s="79">
        <f t="shared" si="11"/>
        <v>1904.288</v>
      </c>
      <c r="J714" s="78">
        <v>20619</v>
      </c>
      <c r="K714" s="78" t="s">
        <v>173</v>
      </c>
      <c r="L714" s="78">
        <v>2079.9929999999999</v>
      </c>
    </row>
    <row r="715" spans="1:12">
      <c r="A715" s="77">
        <v>193038</v>
      </c>
      <c r="B715" s="77">
        <v>20632</v>
      </c>
      <c r="C715" s="77" t="s">
        <v>180</v>
      </c>
      <c r="D715" s="77">
        <v>2</v>
      </c>
      <c r="E715" s="77">
        <v>2</v>
      </c>
      <c r="F715" s="79">
        <f t="shared" si="11"/>
        <v>1192.4649999999999</v>
      </c>
      <c r="J715" s="78">
        <v>20626</v>
      </c>
      <c r="K715" s="78" t="s">
        <v>173</v>
      </c>
      <c r="L715" s="78">
        <v>1904.288</v>
      </c>
    </row>
    <row r="716" spans="1:12">
      <c r="A716" s="77">
        <v>202611</v>
      </c>
      <c r="B716" s="77">
        <v>20635</v>
      </c>
      <c r="C716" s="77" t="s">
        <v>180</v>
      </c>
      <c r="D716" s="77">
        <v>1.75</v>
      </c>
      <c r="E716" s="77">
        <v>2</v>
      </c>
      <c r="F716" s="79">
        <f t="shared" si="11"/>
        <v>2130.886</v>
      </c>
      <c r="J716" s="78">
        <v>20632</v>
      </c>
      <c r="K716" s="78" t="s">
        <v>170</v>
      </c>
      <c r="L716" s="78">
        <v>1192.4649999999999</v>
      </c>
    </row>
    <row r="717" spans="1:12">
      <c r="A717" s="77">
        <v>232411</v>
      </c>
      <c r="B717" s="77">
        <v>20646</v>
      </c>
      <c r="C717" s="77" t="s">
        <v>180</v>
      </c>
      <c r="D717" s="77">
        <v>1.25</v>
      </c>
      <c r="E717" s="77">
        <v>1</v>
      </c>
      <c r="F717" s="79">
        <f t="shared" si="11"/>
        <v>1904.288</v>
      </c>
      <c r="J717" s="78">
        <v>20635</v>
      </c>
      <c r="K717" s="78" t="s">
        <v>171</v>
      </c>
      <c r="L717" s="78">
        <v>2130.886</v>
      </c>
    </row>
    <row r="718" spans="1:12">
      <c r="A718" s="77">
        <v>88467</v>
      </c>
      <c r="B718" s="77">
        <v>20650</v>
      </c>
      <c r="C718" s="77" t="s">
        <v>180</v>
      </c>
      <c r="D718" s="77">
        <v>2</v>
      </c>
      <c r="E718" s="77">
        <v>1</v>
      </c>
      <c r="F718" s="79">
        <f t="shared" si="11"/>
        <v>1925.059</v>
      </c>
      <c r="J718" s="78">
        <v>20646</v>
      </c>
      <c r="K718" s="78" t="s">
        <v>173</v>
      </c>
      <c r="L718" s="78">
        <v>1904.288</v>
      </c>
    </row>
    <row r="719" spans="1:12">
      <c r="A719" s="77">
        <v>194616</v>
      </c>
      <c r="B719" s="77">
        <v>20671</v>
      </c>
      <c r="C719" s="77" t="s">
        <v>180</v>
      </c>
      <c r="D719" s="77">
        <v>5</v>
      </c>
      <c r="E719" s="77">
        <v>1</v>
      </c>
      <c r="F719" s="79">
        <f t="shared" si="11"/>
        <v>8264.9449999999997</v>
      </c>
      <c r="J719" s="78">
        <v>20650</v>
      </c>
      <c r="K719" s="78" t="s">
        <v>172</v>
      </c>
      <c r="L719" s="78">
        <v>1925.059</v>
      </c>
    </row>
    <row r="720" spans="1:12">
      <c r="A720" s="77">
        <v>233537</v>
      </c>
      <c r="B720" s="77">
        <v>20685</v>
      </c>
      <c r="C720" s="77" t="s">
        <v>180</v>
      </c>
      <c r="D720" s="77">
        <v>1.5</v>
      </c>
      <c r="E720" s="77">
        <v>2</v>
      </c>
      <c r="F720" s="79">
        <f t="shared" si="11"/>
        <v>3785.7640000000001</v>
      </c>
      <c r="J720" s="78">
        <v>20671</v>
      </c>
      <c r="K720" s="78" t="s">
        <v>172</v>
      </c>
      <c r="L720" s="78">
        <v>8264.9449999999997</v>
      </c>
    </row>
    <row r="721" spans="1:12">
      <c r="A721" s="77">
        <v>106293</v>
      </c>
      <c r="B721" s="77">
        <v>20688</v>
      </c>
      <c r="C721" s="77" t="s">
        <v>180</v>
      </c>
      <c r="D721" s="77">
        <v>2</v>
      </c>
      <c r="E721" s="77">
        <v>2</v>
      </c>
      <c r="F721" s="79">
        <f t="shared" si="11"/>
        <v>3785.7640000000001</v>
      </c>
      <c r="J721" s="78">
        <v>20685</v>
      </c>
      <c r="K721" s="78" t="s">
        <v>170</v>
      </c>
      <c r="L721" s="78">
        <v>3785.7640000000001</v>
      </c>
    </row>
    <row r="722" spans="1:12">
      <c r="A722" s="77">
        <v>242006</v>
      </c>
      <c r="B722" s="77">
        <v>20702</v>
      </c>
      <c r="C722" s="77" t="s">
        <v>180</v>
      </c>
      <c r="D722" s="77">
        <v>1.75</v>
      </c>
      <c r="E722" s="77">
        <v>1</v>
      </c>
      <c r="F722" s="79">
        <f t="shared" si="11"/>
        <v>2130.886</v>
      </c>
      <c r="J722" s="78">
        <v>20688</v>
      </c>
      <c r="K722" s="78" t="s">
        <v>170</v>
      </c>
      <c r="L722" s="78">
        <v>3785.7640000000001</v>
      </c>
    </row>
    <row r="723" spans="1:12">
      <c r="A723" s="77">
        <v>112331</v>
      </c>
      <c r="B723" s="77">
        <v>20707</v>
      </c>
      <c r="C723" s="77" t="s">
        <v>180</v>
      </c>
      <c r="D723" s="77">
        <v>3</v>
      </c>
      <c r="E723" s="77">
        <v>2</v>
      </c>
      <c r="F723" s="79">
        <f t="shared" si="11"/>
        <v>3785.7640000000001</v>
      </c>
      <c r="J723" s="78">
        <v>20702</v>
      </c>
      <c r="K723" s="78" t="s">
        <v>171</v>
      </c>
      <c r="L723" s="78">
        <v>2130.886</v>
      </c>
    </row>
    <row r="724" spans="1:12">
      <c r="A724" s="77">
        <v>46465</v>
      </c>
      <c r="B724" s="77">
        <v>20712</v>
      </c>
      <c r="C724" s="77" t="s">
        <v>180</v>
      </c>
      <c r="D724" s="77">
        <v>1.75</v>
      </c>
      <c r="E724" s="77">
        <v>2</v>
      </c>
      <c r="F724" s="79">
        <f t="shared" si="11"/>
        <v>2079.9929999999999</v>
      </c>
      <c r="J724" s="78">
        <v>20707</v>
      </c>
      <c r="K724" s="78" t="s">
        <v>170</v>
      </c>
      <c r="L724" s="78">
        <v>3785.7640000000001</v>
      </c>
    </row>
    <row r="725" spans="1:12">
      <c r="A725" s="77">
        <v>68795</v>
      </c>
      <c r="B725" s="77">
        <v>20716</v>
      </c>
      <c r="C725" s="77" t="s">
        <v>180</v>
      </c>
      <c r="D725" s="77">
        <v>1.2</v>
      </c>
      <c r="E725" s="77">
        <v>2</v>
      </c>
      <c r="F725" s="79">
        <f t="shared" si="11"/>
        <v>1144.6790000000001</v>
      </c>
      <c r="J725" s="78">
        <v>20712</v>
      </c>
      <c r="K725" s="78" t="s">
        <v>173</v>
      </c>
      <c r="L725" s="78">
        <v>2079.9929999999999</v>
      </c>
    </row>
    <row r="726" spans="1:12">
      <c r="A726" s="77">
        <v>199893</v>
      </c>
      <c r="B726" s="77">
        <v>20746</v>
      </c>
      <c r="C726" s="77" t="s">
        <v>180</v>
      </c>
      <c r="D726" s="77">
        <v>1.5</v>
      </c>
      <c r="E726" s="77">
        <v>2</v>
      </c>
      <c r="F726" s="79">
        <f t="shared" si="11"/>
        <v>2130.886</v>
      </c>
      <c r="J726" s="78">
        <v>20716</v>
      </c>
      <c r="K726" s="78" t="s">
        <v>171</v>
      </c>
      <c r="L726" s="78">
        <v>1144.6790000000001</v>
      </c>
    </row>
    <row r="727" spans="1:12">
      <c r="A727" s="77">
        <v>134922</v>
      </c>
      <c r="B727" s="77">
        <v>20748</v>
      </c>
      <c r="C727" s="77" t="s">
        <v>180</v>
      </c>
      <c r="D727" s="77">
        <v>2.25</v>
      </c>
      <c r="E727" s="77">
        <v>2</v>
      </c>
      <c r="F727" s="79">
        <f t="shared" si="11"/>
        <v>1192.4649999999999</v>
      </c>
      <c r="J727" s="78">
        <v>20746</v>
      </c>
      <c r="K727" s="78" t="s">
        <v>171</v>
      </c>
      <c r="L727" s="78">
        <v>2130.886</v>
      </c>
    </row>
    <row r="728" spans="1:12">
      <c r="A728" s="77">
        <v>234575</v>
      </c>
      <c r="B728" s="77">
        <v>20753</v>
      </c>
      <c r="C728" s="77" t="s">
        <v>180</v>
      </c>
      <c r="D728" s="77">
        <v>2</v>
      </c>
      <c r="E728" s="77">
        <v>2</v>
      </c>
      <c r="F728" s="79">
        <f t="shared" si="11"/>
        <v>3785.7640000000001</v>
      </c>
      <c r="J728" s="78">
        <v>20748</v>
      </c>
      <c r="K728" s="78" t="s">
        <v>170</v>
      </c>
      <c r="L728" s="78">
        <v>1192.4649999999999</v>
      </c>
    </row>
    <row r="729" spans="1:12">
      <c r="A729" s="77">
        <v>208176</v>
      </c>
      <c r="B729" s="77">
        <v>20758</v>
      </c>
      <c r="C729" s="77" t="s">
        <v>180</v>
      </c>
      <c r="D729" s="77">
        <v>2.5</v>
      </c>
      <c r="E729" s="77">
        <v>2</v>
      </c>
      <c r="F729" s="79">
        <f t="shared" si="11"/>
        <v>1904.288</v>
      </c>
      <c r="J729" s="78">
        <v>20753</v>
      </c>
      <c r="K729" s="78" t="s">
        <v>170</v>
      </c>
      <c r="L729" s="78">
        <v>3785.7640000000001</v>
      </c>
    </row>
    <row r="730" spans="1:12">
      <c r="A730" s="77">
        <v>124958</v>
      </c>
      <c r="B730" s="77">
        <v>20770</v>
      </c>
      <c r="C730" s="77" t="s">
        <v>180</v>
      </c>
      <c r="D730" s="77">
        <v>3.2</v>
      </c>
      <c r="E730" s="77">
        <v>2</v>
      </c>
      <c r="F730" s="79">
        <f t="shared" si="11"/>
        <v>2079.9929999999999</v>
      </c>
      <c r="J730" s="78">
        <v>20758</v>
      </c>
      <c r="K730" s="78" t="s">
        <v>173</v>
      </c>
      <c r="L730" s="78">
        <v>1904.288</v>
      </c>
    </row>
    <row r="731" spans="1:12">
      <c r="A731" s="77">
        <v>683571</v>
      </c>
      <c r="B731" s="77">
        <v>20775</v>
      </c>
      <c r="C731" s="77" t="s">
        <v>180</v>
      </c>
      <c r="D731" s="77">
        <v>2</v>
      </c>
      <c r="E731" s="77">
        <v>3</v>
      </c>
      <c r="F731" s="79">
        <f t="shared" si="11"/>
        <v>2130.886</v>
      </c>
      <c r="J731" s="78">
        <v>20770</v>
      </c>
      <c r="K731" s="78" t="s">
        <v>173</v>
      </c>
      <c r="L731" s="78">
        <v>2079.9929999999999</v>
      </c>
    </row>
    <row r="732" spans="1:12">
      <c r="A732" s="77">
        <v>81264</v>
      </c>
      <c r="B732" s="77">
        <v>20777</v>
      </c>
      <c r="C732" s="77" t="s">
        <v>180</v>
      </c>
      <c r="D732" s="77">
        <v>3.2</v>
      </c>
      <c r="E732" s="77">
        <v>2</v>
      </c>
      <c r="F732" s="79">
        <f t="shared" si="11"/>
        <v>2079.9929999999999</v>
      </c>
      <c r="J732" s="78">
        <v>20775</v>
      </c>
      <c r="K732" s="78" t="s">
        <v>171</v>
      </c>
      <c r="L732" s="78">
        <v>2130.886</v>
      </c>
    </row>
    <row r="733" spans="1:12">
      <c r="A733" s="77">
        <v>86827</v>
      </c>
      <c r="B733" s="77">
        <v>20778</v>
      </c>
      <c r="C733" s="77" t="s">
        <v>180</v>
      </c>
      <c r="D733" s="77">
        <v>2</v>
      </c>
      <c r="E733" s="77">
        <v>2</v>
      </c>
      <c r="F733" s="79">
        <f t="shared" si="11"/>
        <v>1144.6790000000001</v>
      </c>
      <c r="J733" s="78">
        <v>20777</v>
      </c>
      <c r="K733" s="78" t="s">
        <v>173</v>
      </c>
      <c r="L733" s="78">
        <v>2079.9929999999999</v>
      </c>
    </row>
    <row r="734" spans="1:12">
      <c r="A734" s="77">
        <v>125563</v>
      </c>
      <c r="B734" s="77">
        <v>20779</v>
      </c>
      <c r="C734" s="77" t="s">
        <v>180</v>
      </c>
      <c r="D734" s="77">
        <v>2.5</v>
      </c>
      <c r="E734" s="77">
        <v>2</v>
      </c>
      <c r="F734" s="79">
        <f t="shared" si="11"/>
        <v>2079.9929999999999</v>
      </c>
      <c r="J734" s="78">
        <v>20778</v>
      </c>
      <c r="K734" s="78" t="s">
        <v>171</v>
      </c>
      <c r="L734" s="78">
        <v>1144.6790000000001</v>
      </c>
    </row>
    <row r="735" spans="1:12">
      <c r="A735" s="77">
        <v>100226</v>
      </c>
      <c r="B735" s="77">
        <v>20783</v>
      </c>
      <c r="C735" s="77" t="s">
        <v>180</v>
      </c>
      <c r="D735" s="77">
        <v>0.8</v>
      </c>
      <c r="E735" s="77">
        <v>1</v>
      </c>
      <c r="F735" s="79">
        <f t="shared" si="11"/>
        <v>1144.6790000000001</v>
      </c>
      <c r="J735" s="78">
        <v>20779</v>
      </c>
      <c r="K735" s="78" t="s">
        <v>173</v>
      </c>
      <c r="L735" s="78">
        <v>2079.9929999999999</v>
      </c>
    </row>
    <row r="736" spans="1:12">
      <c r="A736" s="77">
        <v>147242</v>
      </c>
      <c r="B736" s="77">
        <v>20792</v>
      </c>
      <c r="C736" s="77" t="s">
        <v>180</v>
      </c>
      <c r="D736" s="77">
        <v>3</v>
      </c>
      <c r="E736" s="77">
        <v>1</v>
      </c>
      <c r="F736" s="79">
        <f t="shared" si="11"/>
        <v>1192.4649999999999</v>
      </c>
      <c r="J736" s="78">
        <v>20783</v>
      </c>
      <c r="K736" s="78" t="s">
        <v>171</v>
      </c>
      <c r="L736" s="78">
        <v>1144.6790000000001</v>
      </c>
    </row>
    <row r="737" spans="1:12">
      <c r="A737" s="77">
        <v>682943</v>
      </c>
      <c r="B737" s="77">
        <v>20807</v>
      </c>
      <c r="C737" s="77" t="s">
        <v>180</v>
      </c>
      <c r="D737" s="77">
        <v>2.25</v>
      </c>
      <c r="E737" s="77">
        <v>2</v>
      </c>
      <c r="F737" s="79">
        <f t="shared" si="11"/>
        <v>12271.31</v>
      </c>
      <c r="J737" s="78">
        <v>20792</v>
      </c>
      <c r="K737" s="78" t="s">
        <v>170</v>
      </c>
      <c r="L737" s="78">
        <v>1192.4649999999999</v>
      </c>
    </row>
    <row r="738" spans="1:12">
      <c r="A738" s="77">
        <v>75979</v>
      </c>
      <c r="B738" s="77">
        <v>20808</v>
      </c>
      <c r="C738" s="77" t="s">
        <v>180</v>
      </c>
      <c r="D738" s="77">
        <v>2.5</v>
      </c>
      <c r="E738" s="77">
        <v>2</v>
      </c>
      <c r="F738" s="79">
        <f t="shared" si="11"/>
        <v>3785.7640000000001</v>
      </c>
      <c r="J738" s="78">
        <v>20807</v>
      </c>
      <c r="K738" s="78" t="s">
        <v>173</v>
      </c>
      <c r="L738" s="78">
        <v>12271.31</v>
      </c>
    </row>
    <row r="739" spans="1:12">
      <c r="A739" s="77">
        <v>148515</v>
      </c>
      <c r="B739" s="77">
        <v>20809</v>
      </c>
      <c r="C739" s="77" t="s">
        <v>180</v>
      </c>
      <c r="D739" s="77">
        <v>2.5</v>
      </c>
      <c r="E739" s="77">
        <v>2</v>
      </c>
      <c r="F739" s="79">
        <f t="shared" si="11"/>
        <v>1192.4649999999999</v>
      </c>
      <c r="J739" s="78">
        <v>20808</v>
      </c>
      <c r="K739" s="78" t="s">
        <v>170</v>
      </c>
      <c r="L739" s="78">
        <v>3785.7640000000001</v>
      </c>
    </row>
    <row r="740" spans="1:12">
      <c r="A740" s="77">
        <v>126877</v>
      </c>
      <c r="B740" s="77">
        <v>20814</v>
      </c>
      <c r="C740" s="77" t="s">
        <v>180</v>
      </c>
      <c r="D740" s="77">
        <v>2.5</v>
      </c>
      <c r="E740" s="77">
        <v>1</v>
      </c>
      <c r="F740" s="79">
        <f t="shared" si="11"/>
        <v>2079.9929999999999</v>
      </c>
      <c r="J740" s="78">
        <v>20809</v>
      </c>
      <c r="K740" s="78" t="s">
        <v>170</v>
      </c>
      <c r="L740" s="78">
        <v>1192.4649999999999</v>
      </c>
    </row>
    <row r="741" spans="1:12">
      <c r="A741" s="77">
        <v>71256</v>
      </c>
      <c r="B741" s="77">
        <v>20817</v>
      </c>
      <c r="C741" s="77" t="s">
        <v>180</v>
      </c>
      <c r="D741" s="77">
        <v>2.5</v>
      </c>
      <c r="E741" s="77">
        <v>2</v>
      </c>
      <c r="F741" s="79">
        <f t="shared" si="11"/>
        <v>2079.9929999999999</v>
      </c>
      <c r="J741" s="78">
        <v>20814</v>
      </c>
      <c r="K741" s="78" t="s">
        <v>173</v>
      </c>
      <c r="L741" s="78">
        <v>2079.9929999999999</v>
      </c>
    </row>
    <row r="742" spans="1:12">
      <c r="A742" s="77">
        <v>178152</v>
      </c>
      <c r="B742" s="77">
        <v>20819</v>
      </c>
      <c r="C742" s="77" t="s">
        <v>180</v>
      </c>
      <c r="D742" s="77">
        <v>2.25</v>
      </c>
      <c r="E742" s="77">
        <v>2</v>
      </c>
      <c r="F742" s="79">
        <f t="shared" si="11"/>
        <v>1192.4649999999999</v>
      </c>
      <c r="J742" s="78">
        <v>20817</v>
      </c>
      <c r="K742" s="78" t="s">
        <v>173</v>
      </c>
      <c r="L742" s="78">
        <v>2079.9929999999999</v>
      </c>
    </row>
    <row r="743" spans="1:12">
      <c r="A743" s="77">
        <v>186618</v>
      </c>
      <c r="B743" s="77">
        <v>20825</v>
      </c>
      <c r="C743" s="77" t="s">
        <v>180</v>
      </c>
      <c r="D743" s="77">
        <v>1</v>
      </c>
      <c r="E743" s="77">
        <v>2</v>
      </c>
      <c r="F743" s="79">
        <f t="shared" si="11"/>
        <v>2079.9929999999999</v>
      </c>
      <c r="J743" s="78">
        <v>20819</v>
      </c>
      <c r="K743" s="78" t="s">
        <v>170</v>
      </c>
      <c r="L743" s="78">
        <v>1192.4649999999999</v>
      </c>
    </row>
    <row r="744" spans="1:12">
      <c r="A744" s="77">
        <v>220710</v>
      </c>
      <c r="B744" s="77">
        <v>20839</v>
      </c>
      <c r="C744" s="77" t="s">
        <v>180</v>
      </c>
      <c r="D744" s="77">
        <v>3</v>
      </c>
      <c r="E744" s="77">
        <v>2</v>
      </c>
      <c r="F744" s="79">
        <f t="shared" si="11"/>
        <v>1904.288</v>
      </c>
      <c r="J744" s="78">
        <v>20825</v>
      </c>
      <c r="K744" s="78" t="s">
        <v>173</v>
      </c>
      <c r="L744" s="78">
        <v>2079.9929999999999</v>
      </c>
    </row>
    <row r="745" spans="1:12">
      <c r="A745" s="77">
        <v>187724</v>
      </c>
      <c r="B745" s="77">
        <v>20853</v>
      </c>
      <c r="C745" s="77" t="s">
        <v>180</v>
      </c>
      <c r="D745" s="77">
        <v>3</v>
      </c>
      <c r="E745" s="77">
        <v>2</v>
      </c>
      <c r="F745" s="79">
        <f t="shared" si="11"/>
        <v>1612.692</v>
      </c>
      <c r="J745" s="78">
        <v>20839</v>
      </c>
      <c r="K745" s="78" t="s">
        <v>173</v>
      </c>
      <c r="L745" s="78">
        <v>1904.288</v>
      </c>
    </row>
    <row r="746" spans="1:12">
      <c r="A746" s="77">
        <v>66384</v>
      </c>
      <c r="B746" s="77">
        <v>20859</v>
      </c>
      <c r="C746" s="77" t="s">
        <v>180</v>
      </c>
      <c r="D746" s="77">
        <v>4.2</v>
      </c>
      <c r="E746" s="77">
        <v>1</v>
      </c>
      <c r="F746" s="79">
        <f t="shared" si="11"/>
        <v>2079.9929999999999</v>
      </c>
      <c r="J746" s="78">
        <v>20853</v>
      </c>
      <c r="K746" s="78" t="s">
        <v>172</v>
      </c>
      <c r="L746" s="78">
        <v>1612.692</v>
      </c>
    </row>
    <row r="747" spans="1:12">
      <c r="A747" s="77">
        <v>168833</v>
      </c>
      <c r="B747" s="77">
        <v>20861</v>
      </c>
      <c r="C747" s="77" t="s">
        <v>180</v>
      </c>
      <c r="D747" s="77">
        <v>2</v>
      </c>
      <c r="E747" s="77">
        <v>2</v>
      </c>
      <c r="F747" s="79">
        <f t="shared" si="11"/>
        <v>2130.886</v>
      </c>
      <c r="J747" s="78">
        <v>20859</v>
      </c>
      <c r="K747" s="78" t="s">
        <v>173</v>
      </c>
      <c r="L747" s="78">
        <v>2079.9929999999999</v>
      </c>
    </row>
    <row r="748" spans="1:12">
      <c r="A748" s="77">
        <v>200673</v>
      </c>
      <c r="B748" s="77">
        <v>20863</v>
      </c>
      <c r="C748" s="77" t="s">
        <v>180</v>
      </c>
      <c r="D748" s="77">
        <v>2</v>
      </c>
      <c r="E748" s="77">
        <v>1</v>
      </c>
      <c r="F748" s="79">
        <f t="shared" si="11"/>
        <v>8559.1039999999994</v>
      </c>
      <c r="J748" s="78">
        <v>20861</v>
      </c>
      <c r="K748" s="78" t="s">
        <v>171</v>
      </c>
      <c r="L748" s="78">
        <v>2130.886</v>
      </c>
    </row>
    <row r="749" spans="1:12">
      <c r="A749" s="77">
        <v>84208</v>
      </c>
      <c r="B749" s="77">
        <v>20878</v>
      </c>
      <c r="C749" s="77" t="s">
        <v>180</v>
      </c>
      <c r="D749" s="77">
        <v>2.5</v>
      </c>
      <c r="E749" s="77">
        <v>2</v>
      </c>
      <c r="F749" s="79">
        <f t="shared" si="11"/>
        <v>1904.288</v>
      </c>
      <c r="J749" s="78">
        <v>20863</v>
      </c>
      <c r="K749" s="78" t="s">
        <v>172</v>
      </c>
      <c r="L749" s="78">
        <v>8559.1039999999994</v>
      </c>
    </row>
    <row r="750" spans="1:12">
      <c r="A750" s="77">
        <v>218974</v>
      </c>
      <c r="B750" s="77">
        <v>20894</v>
      </c>
      <c r="C750" s="77" t="s">
        <v>180</v>
      </c>
      <c r="D750" s="77">
        <v>2.2000000000000002</v>
      </c>
      <c r="E750" s="77">
        <v>1</v>
      </c>
      <c r="F750" s="79">
        <f t="shared" si="11"/>
        <v>2079.9929999999999</v>
      </c>
      <c r="J750" s="78">
        <v>20878</v>
      </c>
      <c r="K750" s="78" t="s">
        <v>173</v>
      </c>
      <c r="L750" s="78">
        <v>1904.288</v>
      </c>
    </row>
    <row r="751" spans="1:12">
      <c r="A751" s="77">
        <v>114097</v>
      </c>
      <c r="B751" s="77">
        <v>20895</v>
      </c>
      <c r="C751" s="77" t="s">
        <v>180</v>
      </c>
      <c r="D751" s="77">
        <v>4</v>
      </c>
      <c r="E751" s="77">
        <v>1</v>
      </c>
      <c r="F751" s="79">
        <f t="shared" si="11"/>
        <v>1612.692</v>
      </c>
      <c r="J751" s="78">
        <v>20894</v>
      </c>
      <c r="K751" s="78" t="s">
        <v>173</v>
      </c>
      <c r="L751" s="78">
        <v>2079.9929999999999</v>
      </c>
    </row>
    <row r="752" spans="1:12">
      <c r="A752" s="77">
        <v>122390</v>
      </c>
      <c r="B752" s="77">
        <v>20902</v>
      </c>
      <c r="C752" s="77" t="s">
        <v>180</v>
      </c>
      <c r="D752" s="77">
        <v>3</v>
      </c>
      <c r="E752" s="77">
        <v>3</v>
      </c>
      <c r="F752" s="79">
        <f t="shared" si="11"/>
        <v>2130.886</v>
      </c>
      <c r="J752" s="78">
        <v>20895</v>
      </c>
      <c r="K752" s="78" t="s">
        <v>172</v>
      </c>
      <c r="L752" s="78">
        <v>1612.692</v>
      </c>
    </row>
    <row r="753" spans="1:12">
      <c r="A753" s="77">
        <v>165079</v>
      </c>
      <c r="B753" s="77">
        <v>20905</v>
      </c>
      <c r="C753" s="77" t="s">
        <v>180</v>
      </c>
      <c r="D753" s="77">
        <v>1.75</v>
      </c>
      <c r="E753" s="77">
        <v>1</v>
      </c>
      <c r="F753" s="79">
        <f t="shared" si="11"/>
        <v>8264.9449999999997</v>
      </c>
      <c r="J753" s="78">
        <v>20902</v>
      </c>
      <c r="K753" s="78" t="s">
        <v>171</v>
      </c>
      <c r="L753" s="78">
        <v>2130.886</v>
      </c>
    </row>
    <row r="754" spans="1:12">
      <c r="A754" s="77">
        <v>46575</v>
      </c>
      <c r="B754" s="77">
        <v>20920</v>
      </c>
      <c r="C754" s="77" t="s">
        <v>180</v>
      </c>
      <c r="D754" s="77">
        <v>2</v>
      </c>
      <c r="E754" s="77">
        <v>2</v>
      </c>
      <c r="F754" s="79">
        <f t="shared" si="11"/>
        <v>2079.9929999999999</v>
      </c>
      <c r="J754" s="78">
        <v>20905</v>
      </c>
      <c r="K754" s="78" t="s">
        <v>172</v>
      </c>
      <c r="L754" s="78">
        <v>8264.9449999999997</v>
      </c>
    </row>
    <row r="755" spans="1:12">
      <c r="A755" s="77">
        <v>74988</v>
      </c>
      <c r="B755" s="77">
        <v>20930</v>
      </c>
      <c r="C755" s="77" t="s">
        <v>180</v>
      </c>
      <c r="D755" s="77">
        <v>2</v>
      </c>
      <c r="E755" s="77">
        <v>3</v>
      </c>
      <c r="F755" s="79">
        <f t="shared" si="11"/>
        <v>1904.288</v>
      </c>
      <c r="J755" s="78">
        <v>20920</v>
      </c>
      <c r="K755" s="78" t="s">
        <v>173</v>
      </c>
      <c r="L755" s="78">
        <v>2079.9929999999999</v>
      </c>
    </row>
    <row r="756" spans="1:12">
      <c r="A756" s="77">
        <v>91974</v>
      </c>
      <c r="B756" s="77">
        <v>20936</v>
      </c>
      <c r="C756" s="77" t="s">
        <v>180</v>
      </c>
      <c r="D756" s="77">
        <v>1.75</v>
      </c>
      <c r="E756" s="77">
        <v>3</v>
      </c>
      <c r="F756" s="79">
        <f t="shared" si="11"/>
        <v>1904.288</v>
      </c>
      <c r="J756" s="78">
        <v>20930</v>
      </c>
      <c r="K756" s="78" t="s">
        <v>173</v>
      </c>
      <c r="L756" s="78">
        <v>1904.288</v>
      </c>
    </row>
    <row r="757" spans="1:12">
      <c r="A757" s="77">
        <v>217928</v>
      </c>
      <c r="B757" s="77">
        <v>20941</v>
      </c>
      <c r="C757" s="77" t="s">
        <v>180</v>
      </c>
      <c r="D757" s="77">
        <v>2.5</v>
      </c>
      <c r="E757" s="77">
        <v>1</v>
      </c>
      <c r="F757" s="79">
        <f t="shared" si="11"/>
        <v>3785.7640000000001</v>
      </c>
      <c r="J757" s="78">
        <v>20936</v>
      </c>
      <c r="K757" s="78" t="s">
        <v>173</v>
      </c>
      <c r="L757" s="78">
        <v>1904.288</v>
      </c>
    </row>
    <row r="758" spans="1:12">
      <c r="A758" s="77">
        <v>191041</v>
      </c>
      <c r="B758" s="77">
        <v>20946</v>
      </c>
      <c r="C758" s="77" t="s">
        <v>180</v>
      </c>
      <c r="D758" s="77">
        <v>2.25</v>
      </c>
      <c r="E758" s="77">
        <v>3</v>
      </c>
      <c r="F758" s="79">
        <f t="shared" si="11"/>
        <v>2130.886</v>
      </c>
      <c r="J758" s="78">
        <v>20941</v>
      </c>
      <c r="K758" s="78" t="s">
        <v>170</v>
      </c>
      <c r="L758" s="78">
        <v>3785.7640000000001</v>
      </c>
    </row>
    <row r="759" spans="1:12">
      <c r="A759" s="77">
        <v>147338</v>
      </c>
      <c r="B759" s="77">
        <v>20958</v>
      </c>
      <c r="C759" s="77" t="s">
        <v>180</v>
      </c>
      <c r="D759" s="77">
        <v>2.5</v>
      </c>
      <c r="E759" s="77">
        <v>2</v>
      </c>
      <c r="F759" s="79">
        <f t="shared" si="11"/>
        <v>1192.4649999999999</v>
      </c>
      <c r="J759" s="78">
        <v>20946</v>
      </c>
      <c r="K759" s="78" t="s">
        <v>171</v>
      </c>
      <c r="L759" s="78">
        <v>2130.886</v>
      </c>
    </row>
    <row r="760" spans="1:12">
      <c r="A760" s="77">
        <v>184784</v>
      </c>
      <c r="B760" s="77">
        <v>20965</v>
      </c>
      <c r="C760" s="77" t="s">
        <v>180</v>
      </c>
      <c r="D760" s="77">
        <v>2</v>
      </c>
      <c r="E760" s="77">
        <v>2</v>
      </c>
      <c r="F760" s="79">
        <f t="shared" si="11"/>
        <v>3785.7640000000001</v>
      </c>
      <c r="J760" s="78">
        <v>20958</v>
      </c>
      <c r="K760" s="78" t="s">
        <v>170</v>
      </c>
      <c r="L760" s="78">
        <v>1192.4649999999999</v>
      </c>
    </row>
    <row r="761" spans="1:12">
      <c r="A761" s="77">
        <v>189677</v>
      </c>
      <c r="B761" s="77">
        <v>20968</v>
      </c>
      <c r="C761" s="77" t="s">
        <v>180</v>
      </c>
      <c r="D761" s="77">
        <v>4</v>
      </c>
      <c r="E761" s="77">
        <v>2</v>
      </c>
      <c r="F761" s="79">
        <f t="shared" si="11"/>
        <v>1612.692</v>
      </c>
      <c r="J761" s="78">
        <v>20965</v>
      </c>
      <c r="K761" s="78" t="s">
        <v>170</v>
      </c>
      <c r="L761" s="78">
        <v>3785.7640000000001</v>
      </c>
    </row>
    <row r="762" spans="1:12">
      <c r="A762" s="77">
        <v>205033</v>
      </c>
      <c r="B762" s="77">
        <v>20970</v>
      </c>
      <c r="C762" s="77" t="s">
        <v>180</v>
      </c>
      <c r="D762" s="77">
        <v>2.5</v>
      </c>
      <c r="E762" s="77">
        <v>2</v>
      </c>
      <c r="F762" s="79">
        <f t="shared" si="11"/>
        <v>2079.9929999999999</v>
      </c>
      <c r="J762" s="78">
        <v>20968</v>
      </c>
      <c r="K762" s="78" t="s">
        <v>172</v>
      </c>
      <c r="L762" s="78">
        <v>1612.692</v>
      </c>
    </row>
    <row r="763" spans="1:12">
      <c r="A763" s="77">
        <v>71584</v>
      </c>
      <c r="B763" s="77">
        <v>20974</v>
      </c>
      <c r="C763" s="77" t="s">
        <v>180</v>
      </c>
      <c r="D763" s="77">
        <v>2.5</v>
      </c>
      <c r="E763" s="77">
        <v>2</v>
      </c>
      <c r="F763" s="79">
        <f t="shared" si="11"/>
        <v>3785.7640000000001</v>
      </c>
      <c r="J763" s="78">
        <v>20970</v>
      </c>
      <c r="K763" s="78" t="s">
        <v>173</v>
      </c>
      <c r="L763" s="78">
        <v>2079.9929999999999</v>
      </c>
    </row>
    <row r="764" spans="1:12">
      <c r="A764" s="77">
        <v>203403</v>
      </c>
      <c r="B764" s="77">
        <v>20976</v>
      </c>
      <c r="C764" s="77" t="s">
        <v>180</v>
      </c>
      <c r="D764" s="77">
        <v>3</v>
      </c>
      <c r="E764" s="77">
        <v>1</v>
      </c>
      <c r="F764" s="79">
        <f t="shared" si="11"/>
        <v>1192.4649999999999</v>
      </c>
      <c r="J764" s="78">
        <v>20974</v>
      </c>
      <c r="K764" s="78" t="s">
        <v>170</v>
      </c>
      <c r="L764" s="78">
        <v>3785.7640000000001</v>
      </c>
    </row>
    <row r="765" spans="1:12">
      <c r="A765" s="77">
        <v>36666</v>
      </c>
      <c r="B765" s="77">
        <v>20995</v>
      </c>
      <c r="C765" s="77" t="s">
        <v>180</v>
      </c>
      <c r="D765" s="77">
        <v>1.5</v>
      </c>
      <c r="E765" s="77">
        <v>1</v>
      </c>
      <c r="F765" s="79">
        <f t="shared" si="11"/>
        <v>2130.886</v>
      </c>
      <c r="J765" s="78">
        <v>20976</v>
      </c>
      <c r="K765" s="78" t="s">
        <v>170</v>
      </c>
      <c r="L765" s="78">
        <v>1192.4649999999999</v>
      </c>
    </row>
    <row r="766" spans="1:12">
      <c r="A766" s="77">
        <v>675821</v>
      </c>
      <c r="B766" s="77">
        <v>20998</v>
      </c>
      <c r="C766" s="77" t="s">
        <v>180</v>
      </c>
      <c r="D766" s="77">
        <v>2.75</v>
      </c>
      <c r="E766" s="77">
        <v>3</v>
      </c>
      <c r="F766" s="79">
        <f t="shared" si="11"/>
        <v>3785.7640000000001</v>
      </c>
      <c r="J766" s="78">
        <v>20995</v>
      </c>
      <c r="K766" s="78" t="s">
        <v>171</v>
      </c>
      <c r="L766" s="78">
        <v>2130.886</v>
      </c>
    </row>
    <row r="767" spans="1:12">
      <c r="A767" s="77">
        <v>88146</v>
      </c>
      <c r="B767" s="77">
        <v>21002</v>
      </c>
      <c r="C767" s="77" t="s">
        <v>180</v>
      </c>
      <c r="D767" s="77">
        <v>2.2999999999999998</v>
      </c>
      <c r="E767" s="77">
        <v>1</v>
      </c>
      <c r="F767" s="79">
        <f t="shared" si="11"/>
        <v>1144.6790000000001</v>
      </c>
      <c r="J767" s="78">
        <v>20998</v>
      </c>
      <c r="K767" s="78" t="s">
        <v>170</v>
      </c>
      <c r="L767" s="78">
        <v>3785.7640000000001</v>
      </c>
    </row>
    <row r="768" spans="1:12">
      <c r="A768" s="77">
        <v>230280</v>
      </c>
      <c r="B768" s="77">
        <v>21003</v>
      </c>
      <c r="C768" s="77" t="s">
        <v>180</v>
      </c>
      <c r="D768" s="77">
        <v>1.5</v>
      </c>
      <c r="E768" s="77">
        <v>2</v>
      </c>
      <c r="F768" s="79">
        <f t="shared" si="11"/>
        <v>2079.9929999999999</v>
      </c>
      <c r="J768" s="78">
        <v>21002</v>
      </c>
      <c r="K768" s="78" t="s">
        <v>171</v>
      </c>
      <c r="L768" s="78">
        <v>1144.6790000000001</v>
      </c>
    </row>
    <row r="769" spans="1:12">
      <c r="A769" s="77">
        <v>139000</v>
      </c>
      <c r="B769" s="77">
        <v>21006</v>
      </c>
      <c r="C769" s="77" t="s">
        <v>180</v>
      </c>
      <c r="D769" s="77">
        <v>2.5</v>
      </c>
      <c r="E769" s="77">
        <v>2</v>
      </c>
      <c r="F769" s="79">
        <f t="shared" si="11"/>
        <v>1192.4649999999999</v>
      </c>
      <c r="J769" s="78">
        <v>21003</v>
      </c>
      <c r="K769" s="78" t="s">
        <v>173</v>
      </c>
      <c r="L769" s="78">
        <v>2079.9929999999999</v>
      </c>
    </row>
    <row r="770" spans="1:12">
      <c r="A770" s="77">
        <v>71708</v>
      </c>
      <c r="B770" s="77">
        <v>21012</v>
      </c>
      <c r="C770" s="77" t="s">
        <v>180</v>
      </c>
      <c r="D770" s="77">
        <v>2.5</v>
      </c>
      <c r="E770" s="77">
        <v>3</v>
      </c>
      <c r="F770" s="79">
        <f t="shared" si="11"/>
        <v>3785.7640000000001</v>
      </c>
      <c r="J770" s="78">
        <v>21006</v>
      </c>
      <c r="K770" s="78" t="s">
        <v>170</v>
      </c>
      <c r="L770" s="78">
        <v>1192.4649999999999</v>
      </c>
    </row>
    <row r="771" spans="1:12">
      <c r="A771" s="77">
        <v>45192</v>
      </c>
      <c r="B771" s="77">
        <v>21016</v>
      </c>
      <c r="C771" s="77" t="s">
        <v>180</v>
      </c>
      <c r="D771" s="77">
        <v>2.5</v>
      </c>
      <c r="E771" s="77">
        <v>3</v>
      </c>
      <c r="F771" s="79">
        <f t="shared" ref="F771:F834" si="12">VLOOKUP(B771,$J$2:$L$1405,3,FALSE)</f>
        <v>3785.7640000000001</v>
      </c>
      <c r="J771" s="78">
        <v>21012</v>
      </c>
      <c r="K771" s="78" t="s">
        <v>170</v>
      </c>
      <c r="L771" s="78">
        <v>3785.7640000000001</v>
      </c>
    </row>
    <row r="772" spans="1:12">
      <c r="A772" s="77">
        <v>160893</v>
      </c>
      <c r="B772" s="77">
        <v>21018</v>
      </c>
      <c r="C772" s="77" t="s">
        <v>180</v>
      </c>
      <c r="D772" s="77">
        <v>2.75</v>
      </c>
      <c r="E772" s="77">
        <v>2</v>
      </c>
      <c r="F772" s="79">
        <f t="shared" si="12"/>
        <v>2130.886</v>
      </c>
      <c r="J772" s="78">
        <v>21016</v>
      </c>
      <c r="K772" s="78" t="s">
        <v>170</v>
      </c>
      <c r="L772" s="78">
        <v>3785.7640000000001</v>
      </c>
    </row>
    <row r="773" spans="1:12">
      <c r="A773" s="77">
        <v>45870</v>
      </c>
      <c r="B773" s="77">
        <v>21021</v>
      </c>
      <c r="C773" s="77" t="s">
        <v>180</v>
      </c>
      <c r="D773" s="77">
        <v>3.1</v>
      </c>
      <c r="E773" s="77">
        <v>1</v>
      </c>
      <c r="F773" s="79">
        <f t="shared" si="12"/>
        <v>8264.9449999999997</v>
      </c>
      <c r="J773" s="78">
        <v>21018</v>
      </c>
      <c r="K773" s="78" t="s">
        <v>171</v>
      </c>
      <c r="L773" s="78">
        <v>2130.886</v>
      </c>
    </row>
    <row r="774" spans="1:12">
      <c r="A774" s="77">
        <v>159914</v>
      </c>
      <c r="B774" s="77">
        <v>21026</v>
      </c>
      <c r="C774" s="77" t="s">
        <v>180</v>
      </c>
      <c r="D774" s="77">
        <v>1.5</v>
      </c>
      <c r="E774" s="77">
        <v>1</v>
      </c>
      <c r="F774" s="79">
        <f t="shared" si="12"/>
        <v>8264.9449999999997</v>
      </c>
      <c r="J774" s="78">
        <v>21021</v>
      </c>
      <c r="K774" s="78" t="s">
        <v>172</v>
      </c>
      <c r="L774" s="78">
        <v>8264.9449999999997</v>
      </c>
    </row>
    <row r="775" spans="1:12">
      <c r="A775" s="77">
        <v>97848</v>
      </c>
      <c r="B775" s="77">
        <v>21038</v>
      </c>
      <c r="C775" s="77" t="s">
        <v>180</v>
      </c>
      <c r="D775" s="77">
        <v>2.5</v>
      </c>
      <c r="E775" s="77">
        <v>1</v>
      </c>
      <c r="F775" s="79">
        <f t="shared" si="12"/>
        <v>1904.288</v>
      </c>
      <c r="J775" s="78">
        <v>21026</v>
      </c>
      <c r="K775" s="78" t="s">
        <v>172</v>
      </c>
      <c r="L775" s="78">
        <v>8264.9449999999997</v>
      </c>
    </row>
    <row r="776" spans="1:12">
      <c r="A776" s="77">
        <v>33299</v>
      </c>
      <c r="B776" s="77">
        <v>21045</v>
      </c>
      <c r="C776" s="77" t="s">
        <v>180</v>
      </c>
      <c r="D776" s="77">
        <v>2</v>
      </c>
      <c r="E776" s="77">
        <v>1</v>
      </c>
      <c r="F776" s="79">
        <f t="shared" si="12"/>
        <v>2130.886</v>
      </c>
      <c r="J776" s="78">
        <v>21038</v>
      </c>
      <c r="K776" s="78" t="s">
        <v>173</v>
      </c>
      <c r="L776" s="78">
        <v>1904.288</v>
      </c>
    </row>
    <row r="777" spans="1:12">
      <c r="A777" s="77">
        <v>180167</v>
      </c>
      <c r="B777" s="77">
        <v>21049</v>
      </c>
      <c r="C777" s="77" t="s">
        <v>180</v>
      </c>
      <c r="D777" s="77">
        <v>3.5</v>
      </c>
      <c r="E777" s="77">
        <v>2</v>
      </c>
      <c r="F777" s="79">
        <f t="shared" si="12"/>
        <v>2130.886</v>
      </c>
      <c r="J777" s="78">
        <v>21045</v>
      </c>
      <c r="K777" s="78" t="s">
        <v>171</v>
      </c>
      <c r="L777" s="78">
        <v>2130.886</v>
      </c>
    </row>
    <row r="778" spans="1:12">
      <c r="A778" s="77">
        <v>211461</v>
      </c>
      <c r="B778" s="77">
        <v>21070</v>
      </c>
      <c r="C778" s="77" t="s">
        <v>180</v>
      </c>
      <c r="D778" s="77">
        <v>2.5</v>
      </c>
      <c r="E778" s="77">
        <v>1</v>
      </c>
      <c r="F778" s="79">
        <f t="shared" si="12"/>
        <v>1904.288</v>
      </c>
      <c r="J778" s="78">
        <v>21049</v>
      </c>
      <c r="K778" s="78" t="s">
        <v>171</v>
      </c>
      <c r="L778" s="78">
        <v>2130.886</v>
      </c>
    </row>
    <row r="779" spans="1:12">
      <c r="A779" s="77">
        <v>138741</v>
      </c>
      <c r="B779" s="77">
        <v>21085</v>
      </c>
      <c r="C779" s="77" t="s">
        <v>180</v>
      </c>
      <c r="D779" s="77">
        <v>2.5</v>
      </c>
      <c r="E779" s="77">
        <v>2</v>
      </c>
      <c r="F779" s="79">
        <f t="shared" si="12"/>
        <v>3785.7640000000001</v>
      </c>
      <c r="J779" s="78">
        <v>21070</v>
      </c>
      <c r="K779" s="78" t="s">
        <v>173</v>
      </c>
      <c r="L779" s="78">
        <v>1904.288</v>
      </c>
    </row>
    <row r="780" spans="1:12">
      <c r="A780" s="77">
        <v>170528</v>
      </c>
      <c r="B780" s="77">
        <v>21089</v>
      </c>
      <c r="C780" s="77" t="s">
        <v>180</v>
      </c>
      <c r="D780" s="77">
        <v>2</v>
      </c>
      <c r="E780" s="77">
        <v>2</v>
      </c>
      <c r="F780" s="79">
        <f t="shared" si="12"/>
        <v>3785.7640000000001</v>
      </c>
      <c r="J780" s="78">
        <v>21085</v>
      </c>
      <c r="K780" s="78" t="s">
        <v>170</v>
      </c>
      <c r="L780" s="78">
        <v>3785.7640000000001</v>
      </c>
    </row>
    <row r="781" spans="1:12">
      <c r="A781" s="77">
        <v>175100</v>
      </c>
      <c r="B781" s="77">
        <v>21091</v>
      </c>
      <c r="C781" s="77" t="s">
        <v>180</v>
      </c>
      <c r="D781" s="77">
        <v>2</v>
      </c>
      <c r="E781" s="77">
        <v>2</v>
      </c>
      <c r="F781" s="79">
        <f t="shared" si="12"/>
        <v>8559.1039999999994</v>
      </c>
      <c r="J781" s="78">
        <v>21089</v>
      </c>
      <c r="K781" s="78" t="s">
        <v>170</v>
      </c>
      <c r="L781" s="78">
        <v>3785.7640000000001</v>
      </c>
    </row>
    <row r="782" spans="1:12">
      <c r="A782" s="77">
        <v>71387</v>
      </c>
      <c r="B782" s="77">
        <v>21103</v>
      </c>
      <c r="C782" s="77" t="s">
        <v>180</v>
      </c>
      <c r="D782" s="77">
        <v>3</v>
      </c>
      <c r="E782" s="77">
        <v>1</v>
      </c>
      <c r="F782" s="79">
        <f t="shared" si="12"/>
        <v>2079.9929999999999</v>
      </c>
      <c r="J782" s="78">
        <v>21091</v>
      </c>
      <c r="K782" s="78" t="s">
        <v>172</v>
      </c>
      <c r="L782" s="78">
        <v>8559.1039999999994</v>
      </c>
    </row>
    <row r="783" spans="1:12">
      <c r="A783" s="77">
        <v>78692</v>
      </c>
      <c r="B783" s="77">
        <v>21107</v>
      </c>
      <c r="C783" s="77" t="s">
        <v>180</v>
      </c>
      <c r="D783" s="77">
        <v>2</v>
      </c>
      <c r="E783" s="77">
        <v>2</v>
      </c>
      <c r="F783" s="79">
        <f t="shared" si="12"/>
        <v>1144.6790000000001</v>
      </c>
      <c r="J783" s="78">
        <v>21103</v>
      </c>
      <c r="K783" s="78" t="s">
        <v>173</v>
      </c>
      <c r="L783" s="78">
        <v>2079.9929999999999</v>
      </c>
    </row>
    <row r="784" spans="1:12">
      <c r="A784" s="77">
        <v>115246</v>
      </c>
      <c r="B784" s="77">
        <v>21109</v>
      </c>
      <c r="C784" s="77" t="s">
        <v>180</v>
      </c>
      <c r="D784" s="77">
        <v>1.25</v>
      </c>
      <c r="E784" s="77">
        <v>1</v>
      </c>
      <c r="F784" s="79">
        <f t="shared" si="12"/>
        <v>1925.059</v>
      </c>
      <c r="J784" s="78">
        <v>21107</v>
      </c>
      <c r="K784" s="78" t="s">
        <v>171</v>
      </c>
      <c r="L784" s="78">
        <v>1144.6790000000001</v>
      </c>
    </row>
    <row r="785" spans="1:12">
      <c r="A785" s="77">
        <v>128698</v>
      </c>
      <c r="B785" s="77">
        <v>21112</v>
      </c>
      <c r="C785" s="77" t="s">
        <v>180</v>
      </c>
      <c r="D785" s="77">
        <v>2.2000000000000002</v>
      </c>
      <c r="E785" s="77">
        <v>2</v>
      </c>
      <c r="F785" s="79">
        <f t="shared" si="12"/>
        <v>1612.692</v>
      </c>
      <c r="J785" s="78">
        <v>21109</v>
      </c>
      <c r="K785" s="78" t="s">
        <v>172</v>
      </c>
      <c r="L785" s="78">
        <v>1925.059</v>
      </c>
    </row>
    <row r="786" spans="1:12">
      <c r="A786" s="77">
        <v>225615</v>
      </c>
      <c r="B786" s="77">
        <v>21122</v>
      </c>
      <c r="C786" s="77" t="s">
        <v>180</v>
      </c>
      <c r="D786" s="77">
        <v>2</v>
      </c>
      <c r="E786" s="77">
        <v>1</v>
      </c>
      <c r="F786" s="79">
        <f t="shared" si="12"/>
        <v>1904.288</v>
      </c>
      <c r="J786" s="78">
        <v>21112</v>
      </c>
      <c r="K786" s="78" t="s">
        <v>172</v>
      </c>
      <c r="L786" s="78">
        <v>1612.692</v>
      </c>
    </row>
    <row r="787" spans="1:12">
      <c r="A787" s="77">
        <v>210339</v>
      </c>
      <c r="B787" s="77">
        <v>21132</v>
      </c>
      <c r="C787" s="77" t="s">
        <v>180</v>
      </c>
      <c r="D787" s="77">
        <v>3.25</v>
      </c>
      <c r="E787" s="77">
        <v>2</v>
      </c>
      <c r="F787" s="79">
        <f t="shared" si="12"/>
        <v>2079.9929999999999</v>
      </c>
      <c r="J787" s="78">
        <v>21122</v>
      </c>
      <c r="K787" s="78" t="s">
        <v>173</v>
      </c>
      <c r="L787" s="78">
        <v>1904.288</v>
      </c>
    </row>
    <row r="788" spans="1:12">
      <c r="A788" s="77">
        <v>143818</v>
      </c>
      <c r="B788" s="77">
        <v>21137</v>
      </c>
      <c r="C788" s="77" t="s">
        <v>180</v>
      </c>
      <c r="D788" s="77">
        <v>2.25</v>
      </c>
      <c r="E788" s="77">
        <v>2</v>
      </c>
      <c r="F788" s="79">
        <f t="shared" si="12"/>
        <v>2130.886</v>
      </c>
      <c r="J788" s="78">
        <v>21132</v>
      </c>
      <c r="K788" s="78" t="s">
        <v>173</v>
      </c>
      <c r="L788" s="78">
        <v>2079.9929999999999</v>
      </c>
    </row>
    <row r="789" spans="1:12">
      <c r="A789" s="77">
        <v>669340</v>
      </c>
      <c r="B789" s="77">
        <v>21143</v>
      </c>
      <c r="C789" s="77" t="s">
        <v>180</v>
      </c>
      <c r="D789" s="77">
        <v>1.5</v>
      </c>
      <c r="E789" s="77">
        <v>2</v>
      </c>
      <c r="F789" s="79">
        <f t="shared" si="12"/>
        <v>1612.692</v>
      </c>
      <c r="J789" s="78">
        <v>21137</v>
      </c>
      <c r="K789" s="78" t="s">
        <v>171</v>
      </c>
      <c r="L789" s="78">
        <v>2130.886</v>
      </c>
    </row>
    <row r="790" spans="1:12">
      <c r="A790" s="77">
        <v>188082</v>
      </c>
      <c r="B790" s="77">
        <v>21155</v>
      </c>
      <c r="C790" s="77" t="s">
        <v>180</v>
      </c>
      <c r="D790" s="77">
        <v>2.5</v>
      </c>
      <c r="E790" s="77">
        <v>2</v>
      </c>
      <c r="F790" s="79">
        <f t="shared" si="12"/>
        <v>1192.4649999999999</v>
      </c>
      <c r="J790" s="78">
        <v>21143</v>
      </c>
      <c r="K790" s="78" t="s">
        <v>172</v>
      </c>
      <c r="L790" s="78">
        <v>1612.692</v>
      </c>
    </row>
    <row r="791" spans="1:12">
      <c r="A791" s="77">
        <v>115525</v>
      </c>
      <c r="B791" s="77">
        <v>21160</v>
      </c>
      <c r="C791" s="77" t="s">
        <v>180</v>
      </c>
      <c r="D791" s="77">
        <v>2.75</v>
      </c>
      <c r="E791" s="77">
        <v>2</v>
      </c>
      <c r="F791" s="79">
        <f t="shared" si="12"/>
        <v>1925.059</v>
      </c>
      <c r="J791" s="78">
        <v>21155</v>
      </c>
      <c r="K791" s="78" t="s">
        <v>170</v>
      </c>
      <c r="L791" s="78">
        <v>1192.4649999999999</v>
      </c>
    </row>
    <row r="792" spans="1:12">
      <c r="A792" s="77">
        <v>143079</v>
      </c>
      <c r="B792" s="77">
        <v>21176</v>
      </c>
      <c r="C792" s="77" t="s">
        <v>180</v>
      </c>
      <c r="D792" s="77">
        <v>2.5</v>
      </c>
      <c r="E792" s="77">
        <v>3</v>
      </c>
      <c r="F792" s="79">
        <f t="shared" si="12"/>
        <v>1192.4649999999999</v>
      </c>
      <c r="J792" s="78">
        <v>21160</v>
      </c>
      <c r="K792" s="78" t="s">
        <v>172</v>
      </c>
      <c r="L792" s="78">
        <v>1925.059</v>
      </c>
    </row>
    <row r="793" spans="1:12">
      <c r="A793" s="77">
        <v>173996</v>
      </c>
      <c r="B793" s="77">
        <v>21180</v>
      </c>
      <c r="C793" s="77" t="s">
        <v>180</v>
      </c>
      <c r="D793" s="77">
        <v>5</v>
      </c>
      <c r="E793" s="77">
        <v>2</v>
      </c>
      <c r="F793" s="79">
        <f t="shared" si="12"/>
        <v>2079.9929999999999</v>
      </c>
      <c r="J793" s="78">
        <v>21176</v>
      </c>
      <c r="K793" s="78" t="s">
        <v>170</v>
      </c>
      <c r="L793" s="78">
        <v>1192.4649999999999</v>
      </c>
    </row>
    <row r="794" spans="1:12">
      <c r="A794" s="77">
        <v>689946</v>
      </c>
      <c r="B794" s="77">
        <v>21188</v>
      </c>
      <c r="C794" s="77" t="s">
        <v>180</v>
      </c>
      <c r="D794" s="77">
        <v>3</v>
      </c>
      <c r="E794" s="77">
        <v>1</v>
      </c>
      <c r="F794" s="79">
        <f t="shared" si="12"/>
        <v>4360.1880000000001</v>
      </c>
      <c r="J794" s="78">
        <v>21180</v>
      </c>
      <c r="K794" s="78" t="s">
        <v>173</v>
      </c>
      <c r="L794" s="78">
        <v>2079.9929999999999</v>
      </c>
    </row>
    <row r="795" spans="1:12">
      <c r="A795" s="77">
        <v>120634</v>
      </c>
      <c r="B795" s="77">
        <v>21201</v>
      </c>
      <c r="C795" s="77" t="s">
        <v>180</v>
      </c>
      <c r="D795" s="77">
        <v>1.75</v>
      </c>
      <c r="E795" s="77">
        <v>2</v>
      </c>
      <c r="F795" s="79">
        <f t="shared" si="12"/>
        <v>2079.9929999999999</v>
      </c>
      <c r="J795" s="78">
        <v>21188</v>
      </c>
      <c r="K795" s="78" t="s">
        <v>173</v>
      </c>
      <c r="L795" s="78">
        <v>4360.1880000000001</v>
      </c>
    </row>
    <row r="796" spans="1:12">
      <c r="A796" s="77">
        <v>49417</v>
      </c>
      <c r="B796" s="77">
        <v>21203</v>
      </c>
      <c r="C796" s="77" t="s">
        <v>180</v>
      </c>
      <c r="D796" s="77">
        <v>2</v>
      </c>
      <c r="E796" s="77">
        <v>1</v>
      </c>
      <c r="F796" s="79">
        <f t="shared" si="12"/>
        <v>2079.9929999999999</v>
      </c>
      <c r="J796" s="78">
        <v>21201</v>
      </c>
      <c r="K796" s="78" t="s">
        <v>173</v>
      </c>
      <c r="L796" s="78">
        <v>2079.9929999999999</v>
      </c>
    </row>
    <row r="797" spans="1:12">
      <c r="A797" s="77">
        <v>78978</v>
      </c>
      <c r="B797" s="77">
        <v>21214</v>
      </c>
      <c r="C797" s="77" t="s">
        <v>180</v>
      </c>
      <c r="D797" s="77">
        <v>2.2999999999999998</v>
      </c>
      <c r="E797" s="77">
        <v>2</v>
      </c>
      <c r="F797" s="79">
        <f t="shared" si="12"/>
        <v>1144.6790000000001</v>
      </c>
      <c r="J797" s="78">
        <v>21203</v>
      </c>
      <c r="K797" s="78" t="s">
        <v>173</v>
      </c>
      <c r="L797" s="78">
        <v>2079.9929999999999</v>
      </c>
    </row>
    <row r="798" spans="1:12">
      <c r="A798" s="77">
        <v>138436</v>
      </c>
      <c r="B798" s="77">
        <v>21218</v>
      </c>
      <c r="C798" s="77" t="s">
        <v>180</v>
      </c>
      <c r="D798" s="77">
        <v>2.5</v>
      </c>
      <c r="E798" s="77">
        <v>3</v>
      </c>
      <c r="F798" s="79">
        <f t="shared" si="12"/>
        <v>1192.4649999999999</v>
      </c>
      <c r="J798" s="78">
        <v>21214</v>
      </c>
      <c r="K798" s="78" t="s">
        <v>171</v>
      </c>
      <c r="L798" s="78">
        <v>1144.6790000000001</v>
      </c>
    </row>
    <row r="799" spans="1:12">
      <c r="A799" s="77">
        <v>194766</v>
      </c>
      <c r="B799" s="77">
        <v>21219</v>
      </c>
      <c r="C799" s="77" t="s">
        <v>180</v>
      </c>
      <c r="D799" s="77">
        <v>5</v>
      </c>
      <c r="E799" s="77">
        <v>1</v>
      </c>
      <c r="F799" s="79">
        <f t="shared" si="12"/>
        <v>8559.1039999999994</v>
      </c>
      <c r="J799" s="78">
        <v>21218</v>
      </c>
      <c r="K799" s="78" t="s">
        <v>170</v>
      </c>
      <c r="L799" s="78">
        <v>1192.4649999999999</v>
      </c>
    </row>
    <row r="800" spans="1:12">
      <c r="A800" s="77">
        <v>34321</v>
      </c>
      <c r="B800" s="77">
        <v>21225</v>
      </c>
      <c r="C800" s="77" t="s">
        <v>180</v>
      </c>
      <c r="D800" s="77">
        <v>2</v>
      </c>
      <c r="E800" s="77">
        <v>1</v>
      </c>
      <c r="F800" s="79">
        <f t="shared" si="12"/>
        <v>2130.886</v>
      </c>
      <c r="J800" s="78">
        <v>21219</v>
      </c>
      <c r="K800" s="78" t="s">
        <v>172</v>
      </c>
      <c r="L800" s="78">
        <v>8559.1039999999994</v>
      </c>
    </row>
    <row r="801" spans="1:12">
      <c r="A801" s="77">
        <v>131321</v>
      </c>
      <c r="B801" s="77">
        <v>21228</v>
      </c>
      <c r="C801" s="77" t="s">
        <v>180</v>
      </c>
      <c r="D801" s="77">
        <v>3</v>
      </c>
      <c r="E801" s="77">
        <v>1</v>
      </c>
      <c r="F801" s="79">
        <f t="shared" si="12"/>
        <v>3785.7640000000001</v>
      </c>
      <c r="J801" s="78">
        <v>21225</v>
      </c>
      <c r="K801" s="78" t="s">
        <v>171</v>
      </c>
      <c r="L801" s="78">
        <v>2130.886</v>
      </c>
    </row>
    <row r="802" spans="1:12">
      <c r="A802" s="77">
        <v>142405</v>
      </c>
      <c r="B802" s="77">
        <v>21231</v>
      </c>
      <c r="C802" s="77" t="s">
        <v>180</v>
      </c>
      <c r="D802" s="77">
        <v>2.5</v>
      </c>
      <c r="E802" s="77">
        <v>3</v>
      </c>
      <c r="F802" s="79">
        <f t="shared" si="12"/>
        <v>1612.692</v>
      </c>
      <c r="J802" s="78">
        <v>21228</v>
      </c>
      <c r="K802" s="78" t="s">
        <v>170</v>
      </c>
      <c r="L802" s="78">
        <v>3785.7640000000001</v>
      </c>
    </row>
    <row r="803" spans="1:12">
      <c r="A803" s="77">
        <v>95097</v>
      </c>
      <c r="B803" s="77">
        <v>21233</v>
      </c>
      <c r="C803" s="77" t="s">
        <v>180</v>
      </c>
      <c r="D803" s="77">
        <v>1.5</v>
      </c>
      <c r="E803" s="77">
        <v>1</v>
      </c>
      <c r="F803" s="79">
        <f t="shared" si="12"/>
        <v>2130.886</v>
      </c>
      <c r="J803" s="78">
        <v>21231</v>
      </c>
      <c r="K803" s="78" t="s">
        <v>172</v>
      </c>
      <c r="L803" s="78">
        <v>1612.692</v>
      </c>
    </row>
    <row r="804" spans="1:12">
      <c r="A804" s="77">
        <v>143483</v>
      </c>
      <c r="B804" s="77">
        <v>21238</v>
      </c>
      <c r="C804" s="77" t="s">
        <v>180</v>
      </c>
      <c r="D804" s="77">
        <v>1.25</v>
      </c>
      <c r="E804" s="77">
        <v>2</v>
      </c>
      <c r="F804" s="79">
        <f t="shared" si="12"/>
        <v>2130.886</v>
      </c>
      <c r="J804" s="78">
        <v>21233</v>
      </c>
      <c r="K804" s="78" t="s">
        <v>171</v>
      </c>
      <c r="L804" s="78">
        <v>2130.886</v>
      </c>
    </row>
    <row r="805" spans="1:12">
      <c r="A805" s="77">
        <v>80120</v>
      </c>
      <c r="B805" s="77">
        <v>21242</v>
      </c>
      <c r="C805" s="77" t="s">
        <v>180</v>
      </c>
      <c r="D805" s="77">
        <v>1.75</v>
      </c>
      <c r="E805" s="77">
        <v>2</v>
      </c>
      <c r="F805" s="79">
        <f t="shared" si="12"/>
        <v>1925.059</v>
      </c>
      <c r="J805" s="78">
        <v>21238</v>
      </c>
      <c r="K805" s="78" t="s">
        <v>171</v>
      </c>
      <c r="L805" s="78">
        <v>2130.886</v>
      </c>
    </row>
    <row r="806" spans="1:12">
      <c r="A806" s="77">
        <v>155878</v>
      </c>
      <c r="B806" s="77">
        <v>21252</v>
      </c>
      <c r="C806" s="77" t="s">
        <v>180</v>
      </c>
      <c r="D806" s="77">
        <v>1.75</v>
      </c>
      <c r="E806" s="77">
        <v>2</v>
      </c>
      <c r="F806" s="79">
        <f t="shared" si="12"/>
        <v>1612.692</v>
      </c>
      <c r="J806" s="78">
        <v>21242</v>
      </c>
      <c r="K806" s="78" t="s">
        <v>172</v>
      </c>
      <c r="L806" s="78">
        <v>1925.059</v>
      </c>
    </row>
    <row r="807" spans="1:12">
      <c r="A807" s="77">
        <v>201692</v>
      </c>
      <c r="B807" s="77">
        <v>21258</v>
      </c>
      <c r="C807" s="77" t="s">
        <v>180</v>
      </c>
      <c r="D807" s="77">
        <v>3.5</v>
      </c>
      <c r="E807" s="77">
        <v>3</v>
      </c>
      <c r="F807" s="79">
        <f t="shared" si="12"/>
        <v>1612.692</v>
      </c>
      <c r="J807" s="78">
        <v>21252</v>
      </c>
      <c r="K807" s="78" t="s">
        <v>172</v>
      </c>
      <c r="L807" s="78">
        <v>1612.692</v>
      </c>
    </row>
    <row r="808" spans="1:12">
      <c r="A808" s="77">
        <v>82663</v>
      </c>
      <c r="B808" s="77">
        <v>21259</v>
      </c>
      <c r="C808" s="77" t="s">
        <v>180</v>
      </c>
      <c r="D808" s="77">
        <v>2.25</v>
      </c>
      <c r="E808" s="77">
        <v>3</v>
      </c>
      <c r="F808" s="79">
        <f t="shared" si="12"/>
        <v>3785.7640000000001</v>
      </c>
      <c r="J808" s="78">
        <v>21258</v>
      </c>
      <c r="K808" s="78" t="s">
        <v>172</v>
      </c>
      <c r="L808" s="78">
        <v>1612.692</v>
      </c>
    </row>
    <row r="809" spans="1:12">
      <c r="A809" s="77">
        <v>93750</v>
      </c>
      <c r="B809" s="77">
        <v>21263</v>
      </c>
      <c r="C809" s="77" t="s">
        <v>180</v>
      </c>
      <c r="D809" s="77">
        <v>3.25</v>
      </c>
      <c r="E809" s="77">
        <v>2</v>
      </c>
      <c r="F809" s="79">
        <f t="shared" si="12"/>
        <v>1904.288</v>
      </c>
      <c r="J809" s="78">
        <v>21259</v>
      </c>
      <c r="K809" s="78" t="s">
        <v>170</v>
      </c>
      <c r="L809" s="78">
        <v>3785.7640000000001</v>
      </c>
    </row>
    <row r="810" spans="1:12">
      <c r="A810" s="77">
        <v>84317</v>
      </c>
      <c r="B810" s="77">
        <v>21264</v>
      </c>
      <c r="C810" s="77" t="s">
        <v>180</v>
      </c>
      <c r="D810" s="77">
        <v>2</v>
      </c>
      <c r="E810" s="77">
        <v>3</v>
      </c>
      <c r="F810" s="79">
        <f t="shared" si="12"/>
        <v>1904.288</v>
      </c>
      <c r="J810" s="78">
        <v>21263</v>
      </c>
      <c r="K810" s="78" t="s">
        <v>173</v>
      </c>
      <c r="L810" s="78">
        <v>1904.288</v>
      </c>
    </row>
    <row r="811" spans="1:12">
      <c r="A811" s="77">
        <v>123569</v>
      </c>
      <c r="B811" s="77">
        <v>21277</v>
      </c>
      <c r="C811" s="77" t="s">
        <v>180</v>
      </c>
      <c r="D811" s="77">
        <v>3.2</v>
      </c>
      <c r="E811" s="77">
        <v>2</v>
      </c>
      <c r="F811" s="79">
        <f t="shared" si="12"/>
        <v>1612.692</v>
      </c>
      <c r="J811" s="78">
        <v>21264</v>
      </c>
      <c r="K811" s="78" t="s">
        <v>173</v>
      </c>
      <c r="L811" s="78">
        <v>1904.288</v>
      </c>
    </row>
    <row r="812" spans="1:12">
      <c r="A812" s="77">
        <v>57520</v>
      </c>
      <c r="B812" s="77">
        <v>21291</v>
      </c>
      <c r="C812" s="77" t="s">
        <v>180</v>
      </c>
      <c r="D812" s="77">
        <v>3</v>
      </c>
      <c r="E812" s="77">
        <v>2</v>
      </c>
      <c r="F812" s="79">
        <f t="shared" si="12"/>
        <v>2079.9929999999999</v>
      </c>
      <c r="J812" s="78">
        <v>21277</v>
      </c>
      <c r="K812" s="78" t="s">
        <v>172</v>
      </c>
      <c r="L812" s="78">
        <v>1612.692</v>
      </c>
    </row>
    <row r="813" spans="1:12">
      <c r="A813" s="77">
        <v>82879</v>
      </c>
      <c r="B813" s="77">
        <v>21293</v>
      </c>
      <c r="C813" s="77" t="s">
        <v>180</v>
      </c>
      <c r="D813" s="77">
        <v>2</v>
      </c>
      <c r="E813" s="77">
        <v>3</v>
      </c>
      <c r="F813" s="79">
        <f t="shared" si="12"/>
        <v>3785.7640000000001</v>
      </c>
      <c r="J813" s="78">
        <v>21291</v>
      </c>
      <c r="K813" s="78" t="s">
        <v>173</v>
      </c>
      <c r="L813" s="78">
        <v>2079.9929999999999</v>
      </c>
    </row>
    <row r="814" spans="1:12">
      <c r="A814" s="77">
        <v>76221</v>
      </c>
      <c r="B814" s="77">
        <v>21294</v>
      </c>
      <c r="C814" s="77" t="s">
        <v>180</v>
      </c>
      <c r="D814" s="77">
        <v>2.25</v>
      </c>
      <c r="E814" s="77">
        <v>2</v>
      </c>
      <c r="F814" s="79">
        <f t="shared" si="12"/>
        <v>2079.9929999999999</v>
      </c>
      <c r="J814" s="78">
        <v>21293</v>
      </c>
      <c r="K814" s="78" t="s">
        <v>170</v>
      </c>
      <c r="L814" s="78">
        <v>3785.7640000000001</v>
      </c>
    </row>
    <row r="815" spans="1:12">
      <c r="A815" s="77">
        <v>175355</v>
      </c>
      <c r="B815" s="77">
        <v>21295</v>
      </c>
      <c r="C815" s="77" t="s">
        <v>180</v>
      </c>
      <c r="D815" s="77">
        <v>2</v>
      </c>
      <c r="E815" s="77">
        <v>1</v>
      </c>
      <c r="F815" s="79">
        <f t="shared" si="12"/>
        <v>1612.692</v>
      </c>
      <c r="J815" s="78">
        <v>21294</v>
      </c>
      <c r="K815" s="78" t="s">
        <v>173</v>
      </c>
      <c r="L815" s="78">
        <v>2079.9929999999999</v>
      </c>
    </row>
    <row r="816" spans="1:12">
      <c r="A816" s="77">
        <v>78084</v>
      </c>
      <c r="B816" s="77">
        <v>21296</v>
      </c>
      <c r="C816" s="77" t="s">
        <v>180</v>
      </c>
      <c r="D816" s="77">
        <v>2</v>
      </c>
      <c r="E816" s="77">
        <v>1</v>
      </c>
      <c r="F816" s="79">
        <f t="shared" si="12"/>
        <v>1925.059</v>
      </c>
      <c r="J816" s="78">
        <v>21295</v>
      </c>
      <c r="K816" s="78" t="s">
        <v>172</v>
      </c>
      <c r="L816" s="78">
        <v>1612.692</v>
      </c>
    </row>
    <row r="817" spans="1:12">
      <c r="A817" s="77">
        <v>727707</v>
      </c>
      <c r="B817" s="77">
        <v>21298</v>
      </c>
      <c r="C817" s="77" t="s">
        <v>180</v>
      </c>
      <c r="D817" s="77">
        <v>2</v>
      </c>
      <c r="E817" s="77">
        <v>2</v>
      </c>
      <c r="F817" s="79">
        <f t="shared" si="12"/>
        <v>3785.7640000000001</v>
      </c>
      <c r="J817" s="78">
        <v>21296</v>
      </c>
      <c r="K817" s="78" t="s">
        <v>172</v>
      </c>
      <c r="L817" s="78">
        <v>1925.059</v>
      </c>
    </row>
    <row r="818" spans="1:12">
      <c r="A818" s="77">
        <v>241243</v>
      </c>
      <c r="B818" s="77">
        <v>21305</v>
      </c>
      <c r="C818" s="77" t="s">
        <v>180</v>
      </c>
      <c r="D818" s="77">
        <v>1.6</v>
      </c>
      <c r="E818" s="77">
        <v>1</v>
      </c>
      <c r="F818" s="79">
        <f t="shared" si="12"/>
        <v>1612.692</v>
      </c>
      <c r="J818" s="78">
        <v>21298</v>
      </c>
      <c r="K818" s="78" t="s">
        <v>170</v>
      </c>
      <c r="L818" s="78">
        <v>3785.7640000000001</v>
      </c>
    </row>
    <row r="819" spans="1:12">
      <c r="A819" s="77">
        <v>663283</v>
      </c>
      <c r="B819" s="77">
        <v>21316</v>
      </c>
      <c r="C819" s="77" t="s">
        <v>180</v>
      </c>
      <c r="D819" s="77">
        <v>2.5</v>
      </c>
      <c r="E819" s="77">
        <v>1</v>
      </c>
      <c r="F819" s="79">
        <f t="shared" si="12"/>
        <v>3785.7640000000001</v>
      </c>
      <c r="J819" s="78">
        <v>21305</v>
      </c>
      <c r="K819" s="78" t="s">
        <v>172</v>
      </c>
      <c r="L819" s="78">
        <v>1612.692</v>
      </c>
    </row>
    <row r="820" spans="1:12">
      <c r="A820" s="77">
        <v>725550</v>
      </c>
      <c r="B820" s="77">
        <v>21319</v>
      </c>
      <c r="C820" s="77" t="s">
        <v>180</v>
      </c>
      <c r="D820" s="77">
        <v>2.75</v>
      </c>
      <c r="E820" s="77">
        <v>1</v>
      </c>
      <c r="F820" s="79">
        <f t="shared" si="12"/>
        <v>2130.886</v>
      </c>
      <c r="J820" s="78">
        <v>21316</v>
      </c>
      <c r="K820" s="78" t="s">
        <v>170</v>
      </c>
      <c r="L820" s="78">
        <v>3785.7640000000001</v>
      </c>
    </row>
    <row r="821" spans="1:12">
      <c r="A821" s="77">
        <v>102910</v>
      </c>
      <c r="B821" s="77">
        <v>21320</v>
      </c>
      <c r="C821" s="77" t="s">
        <v>180</v>
      </c>
      <c r="D821" s="77">
        <v>2.75</v>
      </c>
      <c r="E821" s="77">
        <v>2</v>
      </c>
      <c r="F821" s="79">
        <f t="shared" si="12"/>
        <v>2079.9929999999999</v>
      </c>
      <c r="J821" s="78">
        <v>21319</v>
      </c>
      <c r="K821" s="78" t="s">
        <v>171</v>
      </c>
      <c r="L821" s="78">
        <v>2130.886</v>
      </c>
    </row>
    <row r="822" spans="1:12">
      <c r="A822" s="77">
        <v>183449</v>
      </c>
      <c r="B822" s="77">
        <v>21326</v>
      </c>
      <c r="C822" s="77" t="s">
        <v>180</v>
      </c>
      <c r="D822" s="77">
        <v>3</v>
      </c>
      <c r="E822" s="77">
        <v>1</v>
      </c>
      <c r="F822" s="79">
        <f t="shared" si="12"/>
        <v>1925.059</v>
      </c>
      <c r="J822" s="78">
        <v>21320</v>
      </c>
      <c r="K822" s="78" t="s">
        <v>173</v>
      </c>
      <c r="L822" s="78">
        <v>2079.9929999999999</v>
      </c>
    </row>
    <row r="823" spans="1:12">
      <c r="A823" s="77">
        <v>184009</v>
      </c>
      <c r="B823" s="77">
        <v>21334</v>
      </c>
      <c r="C823" s="77" t="s">
        <v>180</v>
      </c>
      <c r="D823" s="77">
        <v>2</v>
      </c>
      <c r="E823" s="77">
        <v>2</v>
      </c>
      <c r="F823" s="79">
        <f t="shared" si="12"/>
        <v>12271.31</v>
      </c>
      <c r="J823" s="78">
        <v>21326</v>
      </c>
      <c r="K823" s="78" t="s">
        <v>172</v>
      </c>
      <c r="L823" s="78">
        <v>1925.059</v>
      </c>
    </row>
    <row r="824" spans="1:12">
      <c r="A824" s="77">
        <v>219282</v>
      </c>
      <c r="B824" s="77">
        <v>21343</v>
      </c>
      <c r="C824" s="77" t="s">
        <v>180</v>
      </c>
      <c r="D824" s="77">
        <v>1.5</v>
      </c>
      <c r="E824" s="77">
        <v>2</v>
      </c>
      <c r="F824" s="79">
        <f t="shared" si="12"/>
        <v>8264.9449999999997</v>
      </c>
      <c r="J824" s="78">
        <v>21334</v>
      </c>
      <c r="K824" s="78" t="s">
        <v>173</v>
      </c>
      <c r="L824" s="78">
        <v>12271.31</v>
      </c>
    </row>
    <row r="825" spans="1:12">
      <c r="A825" s="77">
        <v>174742</v>
      </c>
      <c r="B825" s="77">
        <v>21345</v>
      </c>
      <c r="C825" s="77" t="s">
        <v>180</v>
      </c>
      <c r="D825" s="77">
        <v>4</v>
      </c>
      <c r="E825" s="77">
        <v>1</v>
      </c>
      <c r="F825" s="79">
        <f t="shared" si="12"/>
        <v>1612.692</v>
      </c>
      <c r="J825" s="78">
        <v>21343</v>
      </c>
      <c r="K825" s="78" t="s">
        <v>172</v>
      </c>
      <c r="L825" s="78">
        <v>8264.9449999999997</v>
      </c>
    </row>
    <row r="826" spans="1:12">
      <c r="A826" s="77">
        <v>65936</v>
      </c>
      <c r="B826" s="77">
        <v>21350</v>
      </c>
      <c r="C826" s="77" t="s">
        <v>180</v>
      </c>
      <c r="D826" s="77">
        <v>5</v>
      </c>
      <c r="E826" s="77">
        <v>4</v>
      </c>
      <c r="F826" s="79">
        <f t="shared" si="12"/>
        <v>8264.9449999999997</v>
      </c>
      <c r="J826" s="78">
        <v>21345</v>
      </c>
      <c r="K826" s="78" t="s">
        <v>172</v>
      </c>
      <c r="L826" s="78">
        <v>1612.692</v>
      </c>
    </row>
    <row r="827" spans="1:12">
      <c r="A827" s="77">
        <v>166789</v>
      </c>
      <c r="B827" s="77">
        <v>21353</v>
      </c>
      <c r="C827" s="77" t="s">
        <v>180</v>
      </c>
      <c r="D827" s="77">
        <v>2.5</v>
      </c>
      <c r="E827" s="77">
        <v>2</v>
      </c>
      <c r="F827" s="79">
        <f t="shared" si="12"/>
        <v>1192.4649999999999</v>
      </c>
      <c r="J827" s="78">
        <v>21350</v>
      </c>
      <c r="K827" s="78" t="s">
        <v>172</v>
      </c>
      <c r="L827" s="78">
        <v>8264.9449999999997</v>
      </c>
    </row>
    <row r="828" spans="1:12">
      <c r="A828" s="77">
        <v>723059</v>
      </c>
      <c r="B828" s="77">
        <v>21355</v>
      </c>
      <c r="C828" s="77" t="s">
        <v>180</v>
      </c>
      <c r="D828" s="77">
        <v>3</v>
      </c>
      <c r="E828" s="77">
        <v>1</v>
      </c>
      <c r="F828" s="79">
        <f t="shared" si="12"/>
        <v>8264.9449999999997</v>
      </c>
      <c r="J828" s="78">
        <v>21353</v>
      </c>
      <c r="K828" s="78" t="s">
        <v>170</v>
      </c>
      <c r="L828" s="78">
        <v>1192.4649999999999</v>
      </c>
    </row>
    <row r="829" spans="1:12">
      <c r="A829" s="77">
        <v>43629</v>
      </c>
      <c r="B829" s="77">
        <v>21366</v>
      </c>
      <c r="C829" s="77" t="s">
        <v>180</v>
      </c>
      <c r="D829" s="77">
        <v>2.25</v>
      </c>
      <c r="E829" s="77">
        <v>2</v>
      </c>
      <c r="F829" s="79">
        <f t="shared" si="12"/>
        <v>2130.886</v>
      </c>
      <c r="J829" s="78">
        <v>21355</v>
      </c>
      <c r="K829" s="78" t="s">
        <v>172</v>
      </c>
      <c r="L829" s="78">
        <v>8264.9449999999997</v>
      </c>
    </row>
    <row r="830" spans="1:12">
      <c r="A830" s="77">
        <v>68905</v>
      </c>
      <c r="B830" s="77">
        <v>21367</v>
      </c>
      <c r="C830" s="77" t="s">
        <v>180</v>
      </c>
      <c r="D830" s="77">
        <v>1.1000000000000001</v>
      </c>
      <c r="E830" s="77">
        <v>1</v>
      </c>
      <c r="F830" s="79">
        <f t="shared" si="12"/>
        <v>2130.886</v>
      </c>
      <c r="J830" s="78">
        <v>21366</v>
      </c>
      <c r="K830" s="78" t="s">
        <v>171</v>
      </c>
      <c r="L830" s="78">
        <v>2130.886</v>
      </c>
    </row>
    <row r="831" spans="1:12">
      <c r="A831" s="77">
        <v>123249</v>
      </c>
      <c r="B831" s="77">
        <v>21372</v>
      </c>
      <c r="C831" s="77" t="s">
        <v>180</v>
      </c>
      <c r="D831" s="77">
        <v>2.5</v>
      </c>
      <c r="E831" s="77">
        <v>2</v>
      </c>
      <c r="F831" s="79">
        <f t="shared" si="12"/>
        <v>1612.692</v>
      </c>
      <c r="J831" s="78">
        <v>21367</v>
      </c>
      <c r="K831" s="78" t="s">
        <v>171</v>
      </c>
      <c r="L831" s="78">
        <v>2130.886</v>
      </c>
    </row>
    <row r="832" spans="1:12">
      <c r="A832" s="77">
        <v>171802</v>
      </c>
      <c r="B832" s="77">
        <v>21374</v>
      </c>
      <c r="C832" s="77" t="s">
        <v>180</v>
      </c>
      <c r="D832" s="77">
        <v>2</v>
      </c>
      <c r="E832" s="77">
        <v>2</v>
      </c>
      <c r="F832" s="79">
        <f t="shared" si="12"/>
        <v>1612.692</v>
      </c>
      <c r="J832" s="78">
        <v>21372</v>
      </c>
      <c r="K832" s="78" t="s">
        <v>172</v>
      </c>
      <c r="L832" s="78">
        <v>1612.692</v>
      </c>
    </row>
    <row r="833" spans="1:12">
      <c r="A833" s="77">
        <v>38322</v>
      </c>
      <c r="B833" s="77">
        <v>21376</v>
      </c>
      <c r="C833" s="77" t="s">
        <v>180</v>
      </c>
      <c r="D833" s="77">
        <v>2.5</v>
      </c>
      <c r="E833" s="77">
        <v>1</v>
      </c>
      <c r="F833" s="79">
        <f t="shared" si="12"/>
        <v>3785.7640000000001</v>
      </c>
      <c r="J833" s="78">
        <v>21374</v>
      </c>
      <c r="K833" s="78" t="s">
        <v>172</v>
      </c>
      <c r="L833" s="78">
        <v>1612.692</v>
      </c>
    </row>
    <row r="834" spans="1:12">
      <c r="A834" s="77">
        <v>221160</v>
      </c>
      <c r="B834" s="77">
        <v>21384</v>
      </c>
      <c r="C834" s="77" t="s">
        <v>180</v>
      </c>
      <c r="D834" s="77">
        <v>3.5</v>
      </c>
      <c r="E834" s="77">
        <v>2</v>
      </c>
      <c r="F834" s="79">
        <f t="shared" si="12"/>
        <v>1904.288</v>
      </c>
      <c r="J834" s="78">
        <v>21376</v>
      </c>
      <c r="K834" s="78" t="s">
        <v>170</v>
      </c>
      <c r="L834" s="78">
        <v>3785.7640000000001</v>
      </c>
    </row>
    <row r="835" spans="1:12">
      <c r="A835" s="77">
        <v>200182</v>
      </c>
      <c r="B835" s="77">
        <v>21390</v>
      </c>
      <c r="C835" s="77" t="s">
        <v>180</v>
      </c>
      <c r="D835" s="77">
        <v>1</v>
      </c>
      <c r="E835" s="77">
        <v>2</v>
      </c>
      <c r="F835" s="79">
        <f t="shared" ref="F835:F898" si="13">VLOOKUP(B835,$J$2:$L$1405,3,FALSE)</f>
        <v>2130.886</v>
      </c>
      <c r="J835" s="78">
        <v>21384</v>
      </c>
      <c r="K835" s="78" t="s">
        <v>173</v>
      </c>
      <c r="L835" s="78">
        <v>1904.288</v>
      </c>
    </row>
    <row r="836" spans="1:12">
      <c r="A836" s="77">
        <v>229591</v>
      </c>
      <c r="B836" s="77">
        <v>21391</v>
      </c>
      <c r="C836" s="77" t="s">
        <v>180</v>
      </c>
      <c r="D836" s="77">
        <v>2.5</v>
      </c>
      <c r="E836" s="77">
        <v>2</v>
      </c>
      <c r="F836" s="79">
        <f t="shared" si="13"/>
        <v>3785.7640000000001</v>
      </c>
      <c r="J836" s="78">
        <v>21390</v>
      </c>
      <c r="K836" s="78" t="s">
        <v>171</v>
      </c>
      <c r="L836" s="78">
        <v>2130.886</v>
      </c>
    </row>
    <row r="837" spans="1:12">
      <c r="A837" s="77">
        <v>239929</v>
      </c>
      <c r="B837" s="77">
        <v>21394</v>
      </c>
      <c r="C837" s="77" t="s">
        <v>180</v>
      </c>
      <c r="D837" s="77">
        <v>1.2</v>
      </c>
      <c r="E837" s="77">
        <v>1</v>
      </c>
      <c r="F837" s="79">
        <f t="shared" si="13"/>
        <v>2079.9929999999999</v>
      </c>
      <c r="J837" s="78">
        <v>21391</v>
      </c>
      <c r="K837" s="78" t="s">
        <v>170</v>
      </c>
      <c r="L837" s="78">
        <v>3785.7640000000001</v>
      </c>
    </row>
    <row r="838" spans="1:12">
      <c r="A838" s="77">
        <v>123752</v>
      </c>
      <c r="B838" s="77">
        <v>21401</v>
      </c>
      <c r="C838" s="77" t="s">
        <v>180</v>
      </c>
      <c r="D838" s="77">
        <v>1.8</v>
      </c>
      <c r="E838" s="77">
        <v>3</v>
      </c>
      <c r="F838" s="79">
        <f t="shared" si="13"/>
        <v>2130.886</v>
      </c>
      <c r="J838" s="78">
        <v>21394</v>
      </c>
      <c r="K838" s="78" t="s">
        <v>173</v>
      </c>
      <c r="L838" s="78">
        <v>2079.9929999999999</v>
      </c>
    </row>
    <row r="839" spans="1:12">
      <c r="A839" s="77">
        <v>49894</v>
      </c>
      <c r="B839" s="77">
        <v>21403</v>
      </c>
      <c r="C839" s="77" t="s">
        <v>180</v>
      </c>
      <c r="D839" s="77">
        <v>2</v>
      </c>
      <c r="E839" s="77">
        <v>3</v>
      </c>
      <c r="F839" s="79">
        <f t="shared" si="13"/>
        <v>12271.31</v>
      </c>
      <c r="J839" s="78">
        <v>21401</v>
      </c>
      <c r="K839" s="78" t="s">
        <v>171</v>
      </c>
      <c r="L839" s="78">
        <v>2130.886</v>
      </c>
    </row>
    <row r="840" spans="1:12">
      <c r="A840" s="77">
        <v>241580</v>
      </c>
      <c r="B840" s="77">
        <v>21405</v>
      </c>
      <c r="C840" s="77" t="s">
        <v>180</v>
      </c>
      <c r="D840" s="77">
        <v>3.5</v>
      </c>
      <c r="E840" s="77">
        <v>3</v>
      </c>
      <c r="F840" s="79">
        <f t="shared" si="13"/>
        <v>12271.31</v>
      </c>
      <c r="J840" s="78">
        <v>21403</v>
      </c>
      <c r="K840" s="78" t="s">
        <v>173</v>
      </c>
      <c r="L840" s="78">
        <v>12271.31</v>
      </c>
    </row>
    <row r="841" spans="1:12">
      <c r="A841" s="77">
        <v>691821</v>
      </c>
      <c r="B841" s="77">
        <v>21408</v>
      </c>
      <c r="C841" s="77" t="s">
        <v>180</v>
      </c>
      <c r="D841" s="77">
        <v>2</v>
      </c>
      <c r="E841" s="77">
        <v>2</v>
      </c>
      <c r="F841" s="79">
        <f t="shared" si="13"/>
        <v>3785.7640000000001</v>
      </c>
      <c r="J841" s="78">
        <v>21405</v>
      </c>
      <c r="K841" s="78" t="s">
        <v>173</v>
      </c>
      <c r="L841" s="78">
        <v>12271.31</v>
      </c>
    </row>
    <row r="842" spans="1:12">
      <c r="A842" s="77">
        <v>186783</v>
      </c>
      <c r="B842" s="77">
        <v>21411</v>
      </c>
      <c r="C842" s="77" t="s">
        <v>180</v>
      </c>
      <c r="D842" s="77">
        <v>2.5</v>
      </c>
      <c r="E842" s="77">
        <v>2</v>
      </c>
      <c r="F842" s="79">
        <f t="shared" si="13"/>
        <v>2130.886</v>
      </c>
      <c r="J842" s="78">
        <v>21408</v>
      </c>
      <c r="K842" s="78" t="s">
        <v>170</v>
      </c>
      <c r="L842" s="78">
        <v>3785.7640000000001</v>
      </c>
    </row>
    <row r="843" spans="1:12">
      <c r="A843" s="77">
        <v>684002</v>
      </c>
      <c r="B843" s="77">
        <v>21414</v>
      </c>
      <c r="C843" s="77" t="s">
        <v>180</v>
      </c>
      <c r="D843" s="77">
        <v>2.5</v>
      </c>
      <c r="E843" s="77">
        <v>2</v>
      </c>
      <c r="F843" s="79">
        <f t="shared" si="13"/>
        <v>12271.31</v>
      </c>
      <c r="J843" s="78">
        <v>21411</v>
      </c>
      <c r="K843" s="78" t="s">
        <v>171</v>
      </c>
      <c r="L843" s="78">
        <v>2130.886</v>
      </c>
    </row>
    <row r="844" spans="1:12">
      <c r="A844" s="77">
        <v>142235</v>
      </c>
      <c r="B844" s="77">
        <v>21417</v>
      </c>
      <c r="C844" s="77" t="s">
        <v>180</v>
      </c>
      <c r="D844" s="77">
        <v>0</v>
      </c>
      <c r="E844" s="77">
        <v>0</v>
      </c>
      <c r="F844" s="79">
        <f t="shared" si="13"/>
        <v>1192.4649999999999</v>
      </c>
      <c r="J844" s="78">
        <v>21414</v>
      </c>
      <c r="K844" s="78" t="s">
        <v>173</v>
      </c>
      <c r="L844" s="78">
        <v>12271.31</v>
      </c>
    </row>
    <row r="845" spans="1:12">
      <c r="A845" s="77">
        <v>193919</v>
      </c>
      <c r="B845" s="77">
        <v>21419</v>
      </c>
      <c r="C845" s="77" t="s">
        <v>180</v>
      </c>
      <c r="D845" s="77">
        <v>2.75</v>
      </c>
      <c r="E845" s="77">
        <v>1</v>
      </c>
      <c r="F845" s="79">
        <f t="shared" si="13"/>
        <v>2130.886</v>
      </c>
      <c r="J845" s="78">
        <v>21417</v>
      </c>
      <c r="K845" s="78" t="s">
        <v>170</v>
      </c>
      <c r="L845" s="78">
        <v>1192.4649999999999</v>
      </c>
    </row>
    <row r="846" spans="1:12">
      <c r="A846" s="77">
        <v>189777</v>
      </c>
      <c r="B846" s="77">
        <v>21427</v>
      </c>
      <c r="C846" s="77" t="s">
        <v>180</v>
      </c>
      <c r="D846" s="77">
        <v>2</v>
      </c>
      <c r="E846" s="77">
        <v>1</v>
      </c>
      <c r="F846" s="79">
        <f t="shared" si="13"/>
        <v>1612.692</v>
      </c>
      <c r="J846" s="78">
        <v>21419</v>
      </c>
      <c r="K846" s="78" t="s">
        <v>171</v>
      </c>
      <c r="L846" s="78">
        <v>2130.886</v>
      </c>
    </row>
    <row r="847" spans="1:12">
      <c r="A847" s="77">
        <v>105818</v>
      </c>
      <c r="B847" s="77">
        <v>21431</v>
      </c>
      <c r="C847" s="77" t="s">
        <v>180</v>
      </c>
      <c r="D847" s="77">
        <v>2</v>
      </c>
      <c r="E847" s="77">
        <v>2</v>
      </c>
      <c r="F847" s="79">
        <f t="shared" si="13"/>
        <v>1144.6790000000001</v>
      </c>
      <c r="J847" s="78">
        <v>21427</v>
      </c>
      <c r="K847" s="78" t="s">
        <v>172</v>
      </c>
      <c r="L847" s="78">
        <v>1612.692</v>
      </c>
    </row>
    <row r="848" spans="1:12">
      <c r="A848" s="77">
        <v>71482</v>
      </c>
      <c r="B848" s="77">
        <v>21436</v>
      </c>
      <c r="C848" s="77" t="s">
        <v>180</v>
      </c>
      <c r="D848" s="77">
        <v>2</v>
      </c>
      <c r="E848" s="77">
        <v>1</v>
      </c>
      <c r="F848" s="79">
        <f t="shared" si="13"/>
        <v>3785.7640000000001</v>
      </c>
      <c r="J848" s="78">
        <v>21431</v>
      </c>
      <c r="K848" s="78" t="s">
        <v>171</v>
      </c>
      <c r="L848" s="78">
        <v>1144.6790000000001</v>
      </c>
    </row>
    <row r="849" spans="1:12">
      <c r="A849" s="77">
        <v>124829</v>
      </c>
      <c r="B849" s="77">
        <v>21437</v>
      </c>
      <c r="C849" s="77" t="s">
        <v>180</v>
      </c>
      <c r="D849" s="77">
        <v>2.4</v>
      </c>
      <c r="E849" s="77">
        <v>2</v>
      </c>
      <c r="F849" s="79">
        <f t="shared" si="13"/>
        <v>2079.9929999999999</v>
      </c>
      <c r="J849" s="78">
        <v>21436</v>
      </c>
      <c r="K849" s="78" t="s">
        <v>170</v>
      </c>
      <c r="L849" s="78">
        <v>3785.7640000000001</v>
      </c>
    </row>
    <row r="850" spans="1:12">
      <c r="A850" s="77">
        <v>163245</v>
      </c>
      <c r="B850" s="77">
        <v>21438</v>
      </c>
      <c r="C850" s="77" t="s">
        <v>180</v>
      </c>
      <c r="D850" s="77">
        <v>2</v>
      </c>
      <c r="E850" s="77">
        <v>2</v>
      </c>
      <c r="F850" s="79">
        <f t="shared" si="13"/>
        <v>1612.692</v>
      </c>
      <c r="J850" s="78">
        <v>21437</v>
      </c>
      <c r="K850" s="78" t="s">
        <v>173</v>
      </c>
      <c r="L850" s="78">
        <v>2079.9929999999999</v>
      </c>
    </row>
    <row r="851" spans="1:12">
      <c r="A851" s="77">
        <v>119161</v>
      </c>
      <c r="B851" s="77">
        <v>21452</v>
      </c>
      <c r="C851" s="77" t="s">
        <v>180</v>
      </c>
      <c r="D851" s="77">
        <v>3.25</v>
      </c>
      <c r="E851" s="77">
        <v>2</v>
      </c>
      <c r="F851" s="79">
        <f t="shared" si="13"/>
        <v>1904.288</v>
      </c>
      <c r="J851" s="78">
        <v>21438</v>
      </c>
      <c r="K851" s="78" t="s">
        <v>172</v>
      </c>
      <c r="L851" s="78">
        <v>1612.692</v>
      </c>
    </row>
    <row r="852" spans="1:12">
      <c r="A852" s="77">
        <v>152876</v>
      </c>
      <c r="B852" s="77">
        <v>21456</v>
      </c>
      <c r="C852" s="77" t="s">
        <v>180</v>
      </c>
      <c r="D852" s="77">
        <v>2.5</v>
      </c>
      <c r="E852" s="77">
        <v>1</v>
      </c>
      <c r="F852" s="79">
        <f t="shared" si="13"/>
        <v>1612.692</v>
      </c>
      <c r="J852" s="78">
        <v>21452</v>
      </c>
      <c r="K852" s="78" t="s">
        <v>173</v>
      </c>
      <c r="L852" s="78">
        <v>1904.288</v>
      </c>
    </row>
    <row r="853" spans="1:12">
      <c r="A853" s="77">
        <v>70052</v>
      </c>
      <c r="B853" s="77">
        <v>21459</v>
      </c>
      <c r="C853" s="77" t="s">
        <v>180</v>
      </c>
      <c r="D853" s="77">
        <v>1.4</v>
      </c>
      <c r="E853" s="77">
        <v>2</v>
      </c>
      <c r="F853" s="79">
        <f t="shared" si="13"/>
        <v>1144.6790000000001</v>
      </c>
      <c r="J853" s="78">
        <v>21456</v>
      </c>
      <c r="K853" s="78" t="s">
        <v>172</v>
      </c>
      <c r="L853" s="78">
        <v>1612.692</v>
      </c>
    </row>
    <row r="854" spans="1:12">
      <c r="A854" s="77">
        <v>162824</v>
      </c>
      <c r="B854" s="77">
        <v>21460</v>
      </c>
      <c r="C854" s="77" t="s">
        <v>180</v>
      </c>
      <c r="D854" s="77">
        <v>2</v>
      </c>
      <c r="E854" s="77">
        <v>1</v>
      </c>
      <c r="F854" s="79">
        <f t="shared" si="13"/>
        <v>3785.7640000000001</v>
      </c>
      <c r="J854" s="78">
        <v>21459</v>
      </c>
      <c r="K854" s="78" t="s">
        <v>171</v>
      </c>
      <c r="L854" s="78">
        <v>1144.6790000000001</v>
      </c>
    </row>
    <row r="855" spans="1:12">
      <c r="A855" s="77">
        <v>154584</v>
      </c>
      <c r="B855" s="77">
        <v>21463</v>
      </c>
      <c r="C855" s="77" t="s">
        <v>180</v>
      </c>
      <c r="D855" s="77">
        <v>5</v>
      </c>
      <c r="E855" s="77">
        <v>1</v>
      </c>
      <c r="F855" s="79">
        <f t="shared" si="13"/>
        <v>2079.9929999999999</v>
      </c>
      <c r="J855" s="78">
        <v>21460</v>
      </c>
      <c r="K855" s="78" t="s">
        <v>170</v>
      </c>
      <c r="L855" s="78">
        <v>3785.7640000000001</v>
      </c>
    </row>
    <row r="856" spans="1:12">
      <c r="A856" s="77">
        <v>166930</v>
      </c>
      <c r="B856" s="77">
        <v>21464</v>
      </c>
      <c r="C856" s="77" t="s">
        <v>180</v>
      </c>
      <c r="D856" s="77">
        <v>2.5</v>
      </c>
      <c r="E856" s="77">
        <v>1</v>
      </c>
      <c r="F856" s="79">
        <f t="shared" si="13"/>
        <v>1192.4649999999999</v>
      </c>
      <c r="J856" s="78">
        <v>21463</v>
      </c>
      <c r="K856" s="78" t="s">
        <v>173</v>
      </c>
      <c r="L856" s="78">
        <v>2079.9929999999999</v>
      </c>
    </row>
    <row r="857" spans="1:12">
      <c r="A857" s="77">
        <v>104497</v>
      </c>
      <c r="B857" s="77">
        <v>21469</v>
      </c>
      <c r="C857" s="77" t="s">
        <v>180</v>
      </c>
      <c r="D857" s="77">
        <v>2.75</v>
      </c>
      <c r="E857" s="77">
        <v>3</v>
      </c>
      <c r="F857" s="79">
        <f t="shared" si="13"/>
        <v>1904.288</v>
      </c>
      <c r="J857" s="78">
        <v>21464</v>
      </c>
      <c r="K857" s="78" t="s">
        <v>170</v>
      </c>
      <c r="L857" s="78">
        <v>1192.4649999999999</v>
      </c>
    </row>
    <row r="858" spans="1:12">
      <c r="A858" s="77">
        <v>49186</v>
      </c>
      <c r="B858" s="77">
        <v>21471</v>
      </c>
      <c r="C858" s="77" t="s">
        <v>180</v>
      </c>
      <c r="D858" s="77">
        <v>2.25</v>
      </c>
      <c r="E858" s="77">
        <v>1</v>
      </c>
      <c r="F858" s="79">
        <f t="shared" si="13"/>
        <v>2079.9929999999999</v>
      </c>
      <c r="J858" s="78">
        <v>21469</v>
      </c>
      <c r="K858" s="78" t="s">
        <v>173</v>
      </c>
      <c r="L858" s="78">
        <v>1904.288</v>
      </c>
    </row>
    <row r="859" spans="1:12">
      <c r="A859" s="77">
        <v>211273</v>
      </c>
      <c r="B859" s="77">
        <v>21483</v>
      </c>
      <c r="C859" s="77" t="s">
        <v>180</v>
      </c>
      <c r="D859" s="77">
        <v>2.25</v>
      </c>
      <c r="E859" s="77">
        <v>1</v>
      </c>
      <c r="F859" s="79">
        <f t="shared" si="13"/>
        <v>1904.288</v>
      </c>
      <c r="J859" s="78">
        <v>21471</v>
      </c>
      <c r="K859" s="78" t="s">
        <v>173</v>
      </c>
      <c r="L859" s="78">
        <v>2079.9929999999999</v>
      </c>
    </row>
    <row r="860" spans="1:12">
      <c r="A860" s="77">
        <v>208895</v>
      </c>
      <c r="B860" s="77">
        <v>21484</v>
      </c>
      <c r="C860" s="77" t="s">
        <v>180</v>
      </c>
      <c r="D860" s="77">
        <v>2.5</v>
      </c>
      <c r="E860" s="77">
        <v>2</v>
      </c>
      <c r="F860" s="79">
        <f t="shared" si="13"/>
        <v>3785.7640000000001</v>
      </c>
      <c r="J860" s="78">
        <v>21483</v>
      </c>
      <c r="K860" s="78" t="s">
        <v>173</v>
      </c>
      <c r="L860" s="78">
        <v>1904.288</v>
      </c>
    </row>
    <row r="861" spans="1:12">
      <c r="A861" s="77">
        <v>150144</v>
      </c>
      <c r="B861" s="77">
        <v>21486</v>
      </c>
      <c r="C861" s="77" t="s">
        <v>180</v>
      </c>
      <c r="D861" s="77">
        <v>1.75</v>
      </c>
      <c r="E861" s="77">
        <v>2</v>
      </c>
      <c r="F861" s="79">
        <f t="shared" si="13"/>
        <v>1612.692</v>
      </c>
      <c r="J861" s="78">
        <v>21484</v>
      </c>
      <c r="K861" s="78" t="s">
        <v>170</v>
      </c>
      <c r="L861" s="78">
        <v>3785.7640000000001</v>
      </c>
    </row>
    <row r="862" spans="1:12">
      <c r="A862" s="77">
        <v>234145</v>
      </c>
      <c r="B862" s="77">
        <v>21487</v>
      </c>
      <c r="C862" s="77" t="s">
        <v>180</v>
      </c>
      <c r="D862" s="77">
        <v>4</v>
      </c>
      <c r="E862" s="77">
        <v>2</v>
      </c>
      <c r="F862" s="79">
        <f t="shared" si="13"/>
        <v>8264.9449999999997</v>
      </c>
      <c r="J862" s="78">
        <v>21486</v>
      </c>
      <c r="K862" s="78" t="s">
        <v>172</v>
      </c>
      <c r="L862" s="78">
        <v>1612.692</v>
      </c>
    </row>
    <row r="863" spans="1:12">
      <c r="A863" s="77">
        <v>144272</v>
      </c>
      <c r="B863" s="77">
        <v>21494</v>
      </c>
      <c r="C863" s="77" t="s">
        <v>180</v>
      </c>
      <c r="D863" s="77">
        <v>2</v>
      </c>
      <c r="E863" s="77">
        <v>1</v>
      </c>
      <c r="F863" s="79">
        <f t="shared" si="13"/>
        <v>2130.886</v>
      </c>
      <c r="J863" s="78">
        <v>21487</v>
      </c>
      <c r="K863" s="78" t="s">
        <v>172</v>
      </c>
      <c r="L863" s="78">
        <v>8264.9449999999997</v>
      </c>
    </row>
    <row r="864" spans="1:12">
      <c r="A864" s="77">
        <v>207189</v>
      </c>
      <c r="B864" s="77">
        <v>21499</v>
      </c>
      <c r="C864" s="77" t="s">
        <v>180</v>
      </c>
      <c r="D864" s="77">
        <v>2.25</v>
      </c>
      <c r="E864" s="77">
        <v>1</v>
      </c>
      <c r="F864" s="79">
        <f t="shared" si="13"/>
        <v>1904.288</v>
      </c>
      <c r="J864" s="78">
        <v>21494</v>
      </c>
      <c r="K864" s="78" t="s">
        <v>171</v>
      </c>
      <c r="L864" s="78">
        <v>2130.886</v>
      </c>
    </row>
    <row r="865" spans="1:12">
      <c r="A865" s="77">
        <v>56249</v>
      </c>
      <c r="B865" s="77">
        <v>21501</v>
      </c>
      <c r="C865" s="77" t="s">
        <v>180</v>
      </c>
      <c r="D865" s="77">
        <v>2.5</v>
      </c>
      <c r="E865" s="77">
        <v>2</v>
      </c>
      <c r="F865" s="79">
        <f t="shared" si="13"/>
        <v>3785.7640000000001</v>
      </c>
      <c r="J865" s="78">
        <v>21499</v>
      </c>
      <c r="K865" s="78" t="s">
        <v>173</v>
      </c>
      <c r="L865" s="78">
        <v>1904.288</v>
      </c>
    </row>
    <row r="866" spans="1:12">
      <c r="A866" s="77">
        <v>110603</v>
      </c>
      <c r="B866" s="77">
        <v>21503</v>
      </c>
      <c r="C866" s="77" t="s">
        <v>180</v>
      </c>
      <c r="D866" s="77">
        <v>2.8</v>
      </c>
      <c r="E866" s="77">
        <v>1</v>
      </c>
      <c r="F866" s="79">
        <f t="shared" si="13"/>
        <v>2079.9929999999999</v>
      </c>
      <c r="J866" s="78">
        <v>21501</v>
      </c>
      <c r="K866" s="78" t="s">
        <v>170</v>
      </c>
      <c r="L866" s="78">
        <v>3785.7640000000001</v>
      </c>
    </row>
    <row r="867" spans="1:12">
      <c r="A867" s="77">
        <v>95193</v>
      </c>
      <c r="B867" s="77">
        <v>21504</v>
      </c>
      <c r="C867" s="77" t="s">
        <v>180</v>
      </c>
      <c r="D867" s="77">
        <v>1.2</v>
      </c>
      <c r="E867" s="77">
        <v>1</v>
      </c>
      <c r="F867" s="79">
        <f t="shared" si="13"/>
        <v>1144.6790000000001</v>
      </c>
      <c r="J867" s="78">
        <v>21503</v>
      </c>
      <c r="K867" s="78" t="s">
        <v>173</v>
      </c>
      <c r="L867" s="78">
        <v>2079.9929999999999</v>
      </c>
    </row>
    <row r="868" spans="1:12">
      <c r="A868" s="77">
        <v>220844</v>
      </c>
      <c r="B868" s="77">
        <v>21524</v>
      </c>
      <c r="C868" s="77" t="s">
        <v>180</v>
      </c>
      <c r="D868" s="77">
        <v>3.5</v>
      </c>
      <c r="E868" s="77">
        <v>2</v>
      </c>
      <c r="F868" s="79">
        <f t="shared" si="13"/>
        <v>1904.288</v>
      </c>
      <c r="J868" s="78">
        <v>21504</v>
      </c>
      <c r="K868" s="78" t="s">
        <v>171</v>
      </c>
      <c r="L868" s="78">
        <v>1144.6790000000001</v>
      </c>
    </row>
    <row r="869" spans="1:12">
      <c r="A869" s="77">
        <v>689830</v>
      </c>
      <c r="B869" s="77">
        <v>21531</v>
      </c>
      <c r="C869" s="77" t="s">
        <v>180</v>
      </c>
      <c r="D869" s="77">
        <v>3</v>
      </c>
      <c r="E869" s="77">
        <v>1</v>
      </c>
      <c r="F869" s="79">
        <f t="shared" si="13"/>
        <v>4360.1880000000001</v>
      </c>
      <c r="J869" s="78">
        <v>21524</v>
      </c>
      <c r="K869" s="78" t="s">
        <v>173</v>
      </c>
      <c r="L869" s="78">
        <v>1904.288</v>
      </c>
    </row>
    <row r="870" spans="1:12">
      <c r="A870" s="77">
        <v>194945</v>
      </c>
      <c r="B870" s="77">
        <v>21532</v>
      </c>
      <c r="C870" s="77" t="s">
        <v>180</v>
      </c>
      <c r="D870" s="77">
        <v>2.2000000000000002</v>
      </c>
      <c r="E870" s="77">
        <v>3</v>
      </c>
      <c r="F870" s="79">
        <f t="shared" si="13"/>
        <v>1925.059</v>
      </c>
      <c r="J870" s="78">
        <v>21531</v>
      </c>
      <c r="K870" s="78" t="s">
        <v>173</v>
      </c>
      <c r="L870" s="78">
        <v>4360.1880000000001</v>
      </c>
    </row>
    <row r="871" spans="1:12">
      <c r="A871" s="77">
        <v>119607</v>
      </c>
      <c r="B871" s="77">
        <v>21537</v>
      </c>
      <c r="C871" s="77" t="s">
        <v>180</v>
      </c>
      <c r="D871" s="77">
        <v>2.75</v>
      </c>
      <c r="E871" s="77">
        <v>1</v>
      </c>
      <c r="F871" s="79">
        <f t="shared" si="13"/>
        <v>1612.692</v>
      </c>
      <c r="J871" s="78">
        <v>21532</v>
      </c>
      <c r="K871" s="78" t="s">
        <v>172</v>
      </c>
      <c r="L871" s="78">
        <v>1925.059</v>
      </c>
    </row>
    <row r="872" spans="1:12">
      <c r="A872" s="77">
        <v>231616</v>
      </c>
      <c r="B872" s="77">
        <v>21546</v>
      </c>
      <c r="C872" s="77" t="s">
        <v>180</v>
      </c>
      <c r="D872" s="77">
        <v>1.9</v>
      </c>
      <c r="E872" s="77">
        <v>4</v>
      </c>
      <c r="F872" s="79">
        <f t="shared" si="13"/>
        <v>1612.692</v>
      </c>
      <c r="J872" s="78">
        <v>21537</v>
      </c>
      <c r="K872" s="78" t="s">
        <v>172</v>
      </c>
      <c r="L872" s="78">
        <v>1612.692</v>
      </c>
    </row>
    <row r="873" spans="1:12">
      <c r="A873" s="77">
        <v>193999</v>
      </c>
      <c r="B873" s="77">
        <v>21566</v>
      </c>
      <c r="C873" s="77" t="s">
        <v>180</v>
      </c>
      <c r="D873" s="77">
        <v>3.75</v>
      </c>
      <c r="E873" s="77">
        <v>2</v>
      </c>
      <c r="F873" s="79">
        <f t="shared" si="13"/>
        <v>2130.886</v>
      </c>
      <c r="J873" s="78">
        <v>21546</v>
      </c>
      <c r="K873" s="78" t="s">
        <v>172</v>
      </c>
      <c r="L873" s="78">
        <v>1612.692</v>
      </c>
    </row>
    <row r="874" spans="1:12">
      <c r="A874" s="77">
        <v>110795</v>
      </c>
      <c r="B874" s="77">
        <v>21578</v>
      </c>
      <c r="C874" s="77" t="s">
        <v>180</v>
      </c>
      <c r="D874" s="77">
        <v>4.4000000000000004</v>
      </c>
      <c r="E874" s="77">
        <v>2</v>
      </c>
      <c r="F874" s="79">
        <f t="shared" si="13"/>
        <v>2079.9929999999999</v>
      </c>
      <c r="J874" s="78">
        <v>21566</v>
      </c>
      <c r="K874" s="78" t="s">
        <v>171</v>
      </c>
      <c r="L874" s="78">
        <v>2130.886</v>
      </c>
    </row>
    <row r="875" spans="1:12">
      <c r="A875" s="77">
        <v>727847</v>
      </c>
      <c r="B875" s="77">
        <v>21588</v>
      </c>
      <c r="C875" s="77" t="s">
        <v>180</v>
      </c>
      <c r="D875" s="77">
        <v>2.25</v>
      </c>
      <c r="E875" s="77">
        <v>2</v>
      </c>
      <c r="F875" s="79">
        <f t="shared" si="13"/>
        <v>3785.7640000000001</v>
      </c>
      <c r="J875" s="78">
        <v>21578</v>
      </c>
      <c r="K875" s="78" t="s">
        <v>173</v>
      </c>
      <c r="L875" s="78">
        <v>2079.9929999999999</v>
      </c>
    </row>
    <row r="876" spans="1:12">
      <c r="A876" s="77">
        <v>135430</v>
      </c>
      <c r="B876" s="77">
        <v>21598</v>
      </c>
      <c r="C876" s="77" t="s">
        <v>180</v>
      </c>
      <c r="D876" s="77">
        <v>1</v>
      </c>
      <c r="E876" s="77">
        <v>1</v>
      </c>
      <c r="F876" s="79">
        <f t="shared" si="13"/>
        <v>8559.1039999999994</v>
      </c>
      <c r="J876" s="78">
        <v>21588</v>
      </c>
      <c r="K876" s="78" t="s">
        <v>170</v>
      </c>
      <c r="L876" s="78">
        <v>3785.7640000000001</v>
      </c>
    </row>
    <row r="877" spans="1:12">
      <c r="A877" s="77">
        <v>238072</v>
      </c>
      <c r="B877" s="77">
        <v>21601</v>
      </c>
      <c r="C877" s="77" t="s">
        <v>180</v>
      </c>
      <c r="D877" s="77">
        <v>2.2999999999999998</v>
      </c>
      <c r="E877" s="77">
        <v>1</v>
      </c>
      <c r="F877" s="79">
        <f t="shared" si="13"/>
        <v>2079.9929999999999</v>
      </c>
      <c r="J877" s="78">
        <v>21598</v>
      </c>
      <c r="K877" s="78" t="s">
        <v>172</v>
      </c>
      <c r="L877" s="78">
        <v>8559.1039999999994</v>
      </c>
    </row>
    <row r="878" spans="1:12">
      <c r="A878" s="77">
        <v>33372</v>
      </c>
      <c r="B878" s="77">
        <v>21605</v>
      </c>
      <c r="C878" s="77" t="s">
        <v>180</v>
      </c>
      <c r="D878" s="77">
        <v>1.5</v>
      </c>
      <c r="E878" s="77">
        <v>1</v>
      </c>
      <c r="F878" s="79">
        <f t="shared" si="13"/>
        <v>2130.886</v>
      </c>
      <c r="J878" s="78">
        <v>21601</v>
      </c>
      <c r="K878" s="78" t="s">
        <v>173</v>
      </c>
      <c r="L878" s="78">
        <v>2079.9929999999999</v>
      </c>
    </row>
    <row r="879" spans="1:12">
      <c r="A879" s="77">
        <v>102170</v>
      </c>
      <c r="B879" s="77">
        <v>21612</v>
      </c>
      <c r="C879" s="77" t="s">
        <v>180</v>
      </c>
      <c r="D879" s="77">
        <v>2.2999999999999998</v>
      </c>
      <c r="E879" s="77">
        <v>1</v>
      </c>
      <c r="F879" s="79">
        <f t="shared" si="13"/>
        <v>2130.886</v>
      </c>
      <c r="J879" s="78">
        <v>21605</v>
      </c>
      <c r="K879" s="78" t="s">
        <v>171</v>
      </c>
      <c r="L879" s="78">
        <v>2130.886</v>
      </c>
    </row>
    <row r="880" spans="1:12">
      <c r="A880" s="77">
        <v>683112</v>
      </c>
      <c r="B880" s="77">
        <v>21615</v>
      </c>
      <c r="C880" s="77" t="s">
        <v>180</v>
      </c>
      <c r="D880" s="77">
        <v>2.25</v>
      </c>
      <c r="E880" s="77">
        <v>2</v>
      </c>
      <c r="F880" s="79">
        <f t="shared" si="13"/>
        <v>12271.31</v>
      </c>
      <c r="J880" s="78">
        <v>21612</v>
      </c>
      <c r="K880" s="78" t="s">
        <v>171</v>
      </c>
      <c r="L880" s="78">
        <v>2130.886</v>
      </c>
    </row>
    <row r="881" spans="1:12">
      <c r="A881" s="77">
        <v>174139</v>
      </c>
      <c r="B881" s="77">
        <v>21623</v>
      </c>
      <c r="C881" s="77" t="s">
        <v>180</v>
      </c>
      <c r="D881" s="77">
        <v>4</v>
      </c>
      <c r="E881" s="77">
        <v>2</v>
      </c>
      <c r="F881" s="79">
        <f t="shared" si="13"/>
        <v>2079.9929999999999</v>
      </c>
      <c r="J881" s="78">
        <v>21615</v>
      </c>
      <c r="K881" s="78" t="s">
        <v>173</v>
      </c>
      <c r="L881" s="78">
        <v>12271.31</v>
      </c>
    </row>
    <row r="882" spans="1:12">
      <c r="A882" s="77">
        <v>192926</v>
      </c>
      <c r="B882" s="77">
        <v>21638</v>
      </c>
      <c r="C882" s="77" t="s">
        <v>180</v>
      </c>
      <c r="D882" s="77">
        <v>2.5</v>
      </c>
      <c r="E882" s="77">
        <v>3</v>
      </c>
      <c r="F882" s="79">
        <f t="shared" si="13"/>
        <v>2130.886</v>
      </c>
      <c r="J882" s="78">
        <v>21623</v>
      </c>
      <c r="K882" s="78" t="s">
        <v>173</v>
      </c>
      <c r="L882" s="78">
        <v>2079.9929999999999</v>
      </c>
    </row>
    <row r="883" spans="1:12">
      <c r="A883" s="77">
        <v>142855</v>
      </c>
      <c r="B883" s="77">
        <v>21647</v>
      </c>
      <c r="C883" s="77" t="s">
        <v>180</v>
      </c>
      <c r="D883" s="77">
        <v>1.5</v>
      </c>
      <c r="E883" s="77">
        <v>1</v>
      </c>
      <c r="F883" s="79">
        <f t="shared" si="13"/>
        <v>1612.692</v>
      </c>
      <c r="J883" s="78">
        <v>21638</v>
      </c>
      <c r="K883" s="78" t="s">
        <v>171</v>
      </c>
      <c r="L883" s="78">
        <v>2130.886</v>
      </c>
    </row>
    <row r="884" spans="1:12">
      <c r="A884" s="77">
        <v>101813</v>
      </c>
      <c r="B884" s="77">
        <v>21654</v>
      </c>
      <c r="C884" s="77" t="s">
        <v>180</v>
      </c>
      <c r="D884" s="77">
        <v>2.4</v>
      </c>
      <c r="E884" s="77">
        <v>2</v>
      </c>
      <c r="F884" s="79">
        <f t="shared" si="13"/>
        <v>1144.6790000000001</v>
      </c>
      <c r="J884" s="78">
        <v>21647</v>
      </c>
      <c r="K884" s="78" t="s">
        <v>172</v>
      </c>
      <c r="L884" s="78">
        <v>1612.692</v>
      </c>
    </row>
    <row r="885" spans="1:12">
      <c r="A885" s="77">
        <v>81568</v>
      </c>
      <c r="B885" s="77">
        <v>21668</v>
      </c>
      <c r="C885" s="77" t="s">
        <v>180</v>
      </c>
      <c r="D885" s="77">
        <v>2</v>
      </c>
      <c r="E885" s="77">
        <v>2</v>
      </c>
      <c r="F885" s="79">
        <f t="shared" si="13"/>
        <v>3785.7640000000001</v>
      </c>
      <c r="J885" s="78">
        <v>21654</v>
      </c>
      <c r="K885" s="78" t="s">
        <v>171</v>
      </c>
      <c r="L885" s="78">
        <v>1144.6790000000001</v>
      </c>
    </row>
    <row r="886" spans="1:12">
      <c r="A886" s="77">
        <v>235845</v>
      </c>
      <c r="B886" s="77">
        <v>21672</v>
      </c>
      <c r="C886" s="77" t="s">
        <v>180</v>
      </c>
      <c r="D886" s="77">
        <v>3</v>
      </c>
      <c r="E886" s="77">
        <v>2</v>
      </c>
      <c r="F886" s="79">
        <f t="shared" si="13"/>
        <v>1144.6790000000001</v>
      </c>
      <c r="J886" s="78">
        <v>21668</v>
      </c>
      <c r="K886" s="78" t="s">
        <v>170</v>
      </c>
      <c r="L886" s="78">
        <v>3785.7640000000001</v>
      </c>
    </row>
    <row r="887" spans="1:12">
      <c r="A887" s="77">
        <v>229933</v>
      </c>
      <c r="B887" s="77">
        <v>21678</v>
      </c>
      <c r="C887" s="77" t="s">
        <v>180</v>
      </c>
      <c r="D887" s="77">
        <v>2</v>
      </c>
      <c r="E887" s="77">
        <v>2</v>
      </c>
      <c r="F887" s="79">
        <f t="shared" si="13"/>
        <v>3785.7640000000001</v>
      </c>
      <c r="J887" s="78">
        <v>21672</v>
      </c>
      <c r="K887" s="78" t="s">
        <v>171</v>
      </c>
      <c r="L887" s="78">
        <v>1144.6790000000001</v>
      </c>
    </row>
    <row r="888" spans="1:12">
      <c r="A888" s="77">
        <v>132742</v>
      </c>
      <c r="B888" s="77">
        <v>21680</v>
      </c>
      <c r="C888" s="77" t="s">
        <v>180</v>
      </c>
      <c r="D888" s="77">
        <v>4</v>
      </c>
      <c r="E888" s="77">
        <v>2</v>
      </c>
      <c r="F888" s="79">
        <f t="shared" si="13"/>
        <v>1144.6790000000001</v>
      </c>
      <c r="J888" s="78">
        <v>21678</v>
      </c>
      <c r="K888" s="78" t="s">
        <v>170</v>
      </c>
      <c r="L888" s="78">
        <v>3785.7640000000001</v>
      </c>
    </row>
    <row r="889" spans="1:12">
      <c r="A889" s="77">
        <v>783086</v>
      </c>
      <c r="B889" s="77">
        <v>21684</v>
      </c>
      <c r="C889" s="77" t="s">
        <v>180</v>
      </c>
      <c r="D889" s="77">
        <v>1.5</v>
      </c>
      <c r="E889" s="77">
        <v>1</v>
      </c>
      <c r="F889" s="79">
        <f t="shared" si="13"/>
        <v>8264.9449999999997</v>
      </c>
      <c r="J889" s="78">
        <v>21680</v>
      </c>
      <c r="K889" s="78" t="s">
        <v>171</v>
      </c>
      <c r="L889" s="78">
        <v>1144.6790000000001</v>
      </c>
    </row>
    <row r="890" spans="1:12">
      <c r="A890" s="77">
        <v>203593</v>
      </c>
      <c r="B890" s="77">
        <v>21689</v>
      </c>
      <c r="C890" s="77" t="s">
        <v>180</v>
      </c>
      <c r="D890" s="77">
        <v>3</v>
      </c>
      <c r="E890" s="77">
        <v>2</v>
      </c>
      <c r="F890" s="79">
        <f t="shared" si="13"/>
        <v>3785.7640000000001</v>
      </c>
      <c r="J890" s="78">
        <v>21684</v>
      </c>
      <c r="K890" s="78" t="s">
        <v>172</v>
      </c>
      <c r="L890" s="78">
        <v>8264.9449999999997</v>
      </c>
    </row>
    <row r="891" spans="1:12">
      <c r="A891" s="77">
        <v>90601</v>
      </c>
      <c r="B891" s="77">
        <v>21692</v>
      </c>
      <c r="C891" s="77" t="s">
        <v>180</v>
      </c>
      <c r="D891" s="77">
        <v>1</v>
      </c>
      <c r="E891" s="77">
        <v>1</v>
      </c>
      <c r="F891" s="79">
        <f t="shared" si="13"/>
        <v>8559.1039999999994</v>
      </c>
      <c r="J891" s="78">
        <v>21689</v>
      </c>
      <c r="K891" s="78" t="s">
        <v>170</v>
      </c>
      <c r="L891" s="78">
        <v>3785.7640000000001</v>
      </c>
    </row>
    <row r="892" spans="1:12">
      <c r="A892" s="77">
        <v>165175</v>
      </c>
      <c r="B892" s="77">
        <v>21700</v>
      </c>
      <c r="C892" s="77" t="s">
        <v>180</v>
      </c>
      <c r="D892" s="77">
        <v>1.75</v>
      </c>
      <c r="E892" s="77">
        <v>1</v>
      </c>
      <c r="F892" s="79">
        <f t="shared" si="13"/>
        <v>8264.9449999999997</v>
      </c>
      <c r="J892" s="78">
        <v>21692</v>
      </c>
      <c r="K892" s="78" t="s">
        <v>172</v>
      </c>
      <c r="L892" s="78">
        <v>8559.1039999999994</v>
      </c>
    </row>
    <row r="893" spans="1:12">
      <c r="A893" s="77">
        <v>204822</v>
      </c>
      <c r="B893" s="77">
        <v>21701</v>
      </c>
      <c r="C893" s="77" t="s">
        <v>180</v>
      </c>
      <c r="D893" s="77">
        <v>2.25</v>
      </c>
      <c r="E893" s="77">
        <v>2</v>
      </c>
      <c r="F893" s="79">
        <f t="shared" si="13"/>
        <v>1144.6790000000001</v>
      </c>
      <c r="J893" s="78">
        <v>21700</v>
      </c>
      <c r="K893" s="78" t="s">
        <v>172</v>
      </c>
      <c r="L893" s="78">
        <v>8264.9449999999997</v>
      </c>
    </row>
    <row r="894" spans="1:12">
      <c r="A894" s="77">
        <v>110254</v>
      </c>
      <c r="B894" s="77">
        <v>21703</v>
      </c>
      <c r="C894" s="77" t="s">
        <v>180</v>
      </c>
      <c r="D894" s="77">
        <v>2.5</v>
      </c>
      <c r="E894" s="77">
        <v>1</v>
      </c>
      <c r="F894" s="79">
        <f t="shared" si="13"/>
        <v>1904.288</v>
      </c>
      <c r="J894" s="78">
        <v>21701</v>
      </c>
      <c r="K894" s="78" t="s">
        <v>171</v>
      </c>
      <c r="L894" s="78">
        <v>1144.6790000000001</v>
      </c>
    </row>
    <row r="895" spans="1:12">
      <c r="A895" s="77">
        <v>205256</v>
      </c>
      <c r="B895" s="77">
        <v>21707</v>
      </c>
      <c r="C895" s="77" t="s">
        <v>180</v>
      </c>
      <c r="D895" s="77">
        <v>2</v>
      </c>
      <c r="E895" s="77">
        <v>1</v>
      </c>
      <c r="F895" s="79">
        <f t="shared" si="13"/>
        <v>1904.288</v>
      </c>
      <c r="J895" s="78">
        <v>21703</v>
      </c>
      <c r="K895" s="78" t="s">
        <v>173</v>
      </c>
      <c r="L895" s="78">
        <v>1904.288</v>
      </c>
    </row>
    <row r="896" spans="1:12">
      <c r="A896" s="77">
        <v>209852</v>
      </c>
      <c r="B896" s="77">
        <v>21708</v>
      </c>
      <c r="C896" s="77" t="s">
        <v>180</v>
      </c>
      <c r="D896" s="77">
        <v>3</v>
      </c>
      <c r="E896" s="77">
        <v>2</v>
      </c>
      <c r="F896" s="79">
        <f t="shared" si="13"/>
        <v>3785.7640000000001</v>
      </c>
      <c r="J896" s="78">
        <v>21707</v>
      </c>
      <c r="K896" s="78" t="s">
        <v>173</v>
      </c>
      <c r="L896" s="78">
        <v>1904.288</v>
      </c>
    </row>
    <row r="897" spans="1:12">
      <c r="A897" s="77">
        <v>219815</v>
      </c>
      <c r="B897" s="77">
        <v>21710</v>
      </c>
      <c r="C897" s="77" t="s">
        <v>180</v>
      </c>
      <c r="D897" s="77">
        <v>1</v>
      </c>
      <c r="E897" s="77">
        <v>2</v>
      </c>
      <c r="F897" s="79">
        <f t="shared" si="13"/>
        <v>2079.9929999999999</v>
      </c>
      <c r="J897" s="78">
        <v>21708</v>
      </c>
      <c r="K897" s="78" t="s">
        <v>170</v>
      </c>
      <c r="L897" s="78">
        <v>3785.7640000000001</v>
      </c>
    </row>
    <row r="898" spans="1:12">
      <c r="A898" s="77">
        <v>43386</v>
      </c>
      <c r="B898" s="77">
        <v>21719</v>
      </c>
      <c r="C898" s="77" t="s">
        <v>180</v>
      </c>
      <c r="D898" s="77">
        <v>3.5</v>
      </c>
      <c r="E898" s="77">
        <v>2</v>
      </c>
      <c r="F898" s="79">
        <f t="shared" si="13"/>
        <v>2130.886</v>
      </c>
      <c r="J898" s="78">
        <v>21710</v>
      </c>
      <c r="K898" s="78" t="s">
        <v>173</v>
      </c>
      <c r="L898" s="78">
        <v>2079.9929999999999</v>
      </c>
    </row>
    <row r="899" spans="1:12">
      <c r="A899" s="77">
        <v>67925</v>
      </c>
      <c r="B899" s="77">
        <v>21720</v>
      </c>
      <c r="C899" s="77" t="s">
        <v>180</v>
      </c>
      <c r="D899" s="77">
        <v>2</v>
      </c>
      <c r="E899" s="77">
        <v>2</v>
      </c>
      <c r="F899" s="79">
        <f t="shared" ref="F899:F962" si="14">VLOOKUP(B899,$J$2:$L$1405,3,FALSE)</f>
        <v>3785.7640000000001</v>
      </c>
      <c r="J899" s="78">
        <v>21719</v>
      </c>
      <c r="K899" s="78" t="s">
        <v>171</v>
      </c>
      <c r="L899" s="78">
        <v>2130.886</v>
      </c>
    </row>
    <row r="900" spans="1:12">
      <c r="A900" s="77">
        <v>202424</v>
      </c>
      <c r="B900" s="77">
        <v>21722</v>
      </c>
      <c r="C900" s="77" t="s">
        <v>180</v>
      </c>
      <c r="D900" s="77">
        <v>5</v>
      </c>
      <c r="E900" s="77">
        <v>2</v>
      </c>
      <c r="F900" s="79">
        <f t="shared" si="14"/>
        <v>2130.886</v>
      </c>
      <c r="J900" s="78">
        <v>21720</v>
      </c>
      <c r="K900" s="78" t="s">
        <v>170</v>
      </c>
      <c r="L900" s="78">
        <v>3785.7640000000001</v>
      </c>
    </row>
    <row r="901" spans="1:12">
      <c r="A901" s="77">
        <v>184651</v>
      </c>
      <c r="B901" s="77">
        <v>21733</v>
      </c>
      <c r="C901" s="77" t="s">
        <v>180</v>
      </c>
      <c r="D901" s="77">
        <v>2.5</v>
      </c>
      <c r="E901" s="77">
        <v>3</v>
      </c>
      <c r="F901" s="79">
        <f t="shared" si="14"/>
        <v>1192.4649999999999</v>
      </c>
      <c r="J901" s="78">
        <v>21722</v>
      </c>
      <c r="K901" s="78" t="s">
        <v>171</v>
      </c>
      <c r="L901" s="78">
        <v>2130.886</v>
      </c>
    </row>
    <row r="902" spans="1:12">
      <c r="A902" s="77">
        <v>149470</v>
      </c>
      <c r="B902" s="77">
        <v>21741</v>
      </c>
      <c r="C902" s="77" t="s">
        <v>180</v>
      </c>
      <c r="D902" s="77">
        <v>2.5</v>
      </c>
      <c r="E902" s="77">
        <v>2</v>
      </c>
      <c r="F902" s="79">
        <f t="shared" si="14"/>
        <v>4360.1880000000001</v>
      </c>
      <c r="J902" s="78">
        <v>21733</v>
      </c>
      <c r="K902" s="78" t="s">
        <v>170</v>
      </c>
      <c r="L902" s="78">
        <v>1192.4649999999999</v>
      </c>
    </row>
    <row r="903" spans="1:12">
      <c r="A903" s="77">
        <v>53306</v>
      </c>
      <c r="B903" s="77">
        <v>21746</v>
      </c>
      <c r="C903" s="77" t="s">
        <v>180</v>
      </c>
      <c r="D903" s="77">
        <v>3</v>
      </c>
      <c r="E903" s="77">
        <v>2</v>
      </c>
      <c r="F903" s="79">
        <f t="shared" si="14"/>
        <v>8264.9449999999997</v>
      </c>
      <c r="J903" s="78">
        <v>21741</v>
      </c>
      <c r="K903" s="78" t="s">
        <v>173</v>
      </c>
      <c r="L903" s="78">
        <v>4360.1880000000001</v>
      </c>
    </row>
    <row r="904" spans="1:12">
      <c r="A904" s="77">
        <v>221920</v>
      </c>
      <c r="B904" s="77">
        <v>21748</v>
      </c>
      <c r="C904" s="77" t="s">
        <v>180</v>
      </c>
      <c r="D904" s="77">
        <v>2.5</v>
      </c>
      <c r="E904" s="77">
        <v>3</v>
      </c>
      <c r="F904" s="79">
        <f t="shared" si="14"/>
        <v>1192.4649999999999</v>
      </c>
      <c r="J904" s="78">
        <v>21746</v>
      </c>
      <c r="K904" s="78" t="s">
        <v>172</v>
      </c>
      <c r="L904" s="78">
        <v>8264.9449999999997</v>
      </c>
    </row>
    <row r="905" spans="1:12">
      <c r="A905" s="77">
        <v>231450</v>
      </c>
      <c r="B905" s="77">
        <v>21753</v>
      </c>
      <c r="C905" s="77" t="s">
        <v>180</v>
      </c>
      <c r="D905" s="77">
        <v>2.4</v>
      </c>
      <c r="E905" s="77">
        <v>1</v>
      </c>
      <c r="F905" s="79">
        <f t="shared" si="14"/>
        <v>1612.692</v>
      </c>
      <c r="J905" s="78">
        <v>21748</v>
      </c>
      <c r="K905" s="78" t="s">
        <v>170</v>
      </c>
      <c r="L905" s="78">
        <v>1192.4649999999999</v>
      </c>
    </row>
    <row r="906" spans="1:12">
      <c r="A906" s="77">
        <v>76422</v>
      </c>
      <c r="B906" s="77">
        <v>21768</v>
      </c>
      <c r="C906" s="77" t="s">
        <v>180</v>
      </c>
      <c r="D906" s="77">
        <v>2</v>
      </c>
      <c r="E906" s="77">
        <v>2</v>
      </c>
      <c r="F906" s="79">
        <f t="shared" si="14"/>
        <v>1925.059</v>
      </c>
      <c r="J906" s="78">
        <v>21753</v>
      </c>
      <c r="K906" s="78" t="s">
        <v>172</v>
      </c>
      <c r="L906" s="78">
        <v>1612.692</v>
      </c>
    </row>
    <row r="907" spans="1:12">
      <c r="A907" s="77">
        <v>95274</v>
      </c>
      <c r="B907" s="77">
        <v>21777</v>
      </c>
      <c r="C907" s="77" t="s">
        <v>180</v>
      </c>
      <c r="D907" s="77">
        <v>1.7</v>
      </c>
      <c r="E907" s="77">
        <v>2</v>
      </c>
      <c r="F907" s="79">
        <f t="shared" si="14"/>
        <v>2130.886</v>
      </c>
      <c r="J907" s="78">
        <v>21768</v>
      </c>
      <c r="K907" s="78" t="s">
        <v>172</v>
      </c>
      <c r="L907" s="78">
        <v>1925.059</v>
      </c>
    </row>
    <row r="908" spans="1:12">
      <c r="A908" s="77">
        <v>220060</v>
      </c>
      <c r="B908" s="77">
        <v>21781</v>
      </c>
      <c r="C908" s="77" t="s">
        <v>180</v>
      </c>
      <c r="D908" s="77">
        <v>3</v>
      </c>
      <c r="E908" s="77">
        <v>3</v>
      </c>
      <c r="F908" s="79">
        <f t="shared" si="14"/>
        <v>1612.692</v>
      </c>
      <c r="J908" s="78">
        <v>21777</v>
      </c>
      <c r="K908" s="78" t="s">
        <v>171</v>
      </c>
      <c r="L908" s="78">
        <v>2130.886</v>
      </c>
    </row>
    <row r="909" spans="1:12">
      <c r="A909" s="77">
        <v>194676</v>
      </c>
      <c r="B909" s="77">
        <v>21783</v>
      </c>
      <c r="C909" s="77" t="s">
        <v>180</v>
      </c>
      <c r="D909" s="77">
        <v>1.5</v>
      </c>
      <c r="E909" s="77">
        <v>1</v>
      </c>
      <c r="F909" s="79">
        <f t="shared" si="14"/>
        <v>8264.9449999999997</v>
      </c>
      <c r="J909" s="78">
        <v>21781</v>
      </c>
      <c r="K909" s="78" t="s">
        <v>172</v>
      </c>
      <c r="L909" s="78">
        <v>1612.692</v>
      </c>
    </row>
    <row r="910" spans="1:12">
      <c r="A910" s="77">
        <v>227443</v>
      </c>
      <c r="B910" s="77">
        <v>21787</v>
      </c>
      <c r="C910" s="77" t="s">
        <v>180</v>
      </c>
      <c r="D910" s="77">
        <v>2</v>
      </c>
      <c r="E910" s="77">
        <v>3</v>
      </c>
      <c r="F910" s="79">
        <f t="shared" si="14"/>
        <v>4360.1880000000001</v>
      </c>
      <c r="J910" s="78">
        <v>21783</v>
      </c>
      <c r="K910" s="78" t="s">
        <v>172</v>
      </c>
      <c r="L910" s="78">
        <v>8264.9449999999997</v>
      </c>
    </row>
    <row r="911" spans="1:12">
      <c r="A911" s="77">
        <v>168197</v>
      </c>
      <c r="B911" s="77">
        <v>21791</v>
      </c>
      <c r="C911" s="77" t="s">
        <v>180</v>
      </c>
      <c r="D911" s="77">
        <v>5</v>
      </c>
      <c r="E911" s="77">
        <v>1</v>
      </c>
      <c r="F911" s="79">
        <f t="shared" si="14"/>
        <v>1612.692</v>
      </c>
      <c r="J911" s="78">
        <v>21787</v>
      </c>
      <c r="K911" s="78" t="s">
        <v>173</v>
      </c>
      <c r="L911" s="78">
        <v>4360.1880000000001</v>
      </c>
    </row>
    <row r="912" spans="1:12">
      <c r="A912" s="77">
        <v>82371</v>
      </c>
      <c r="B912" s="77">
        <v>21796</v>
      </c>
      <c r="C912" s="77" t="s">
        <v>180</v>
      </c>
      <c r="D912" s="77">
        <v>2</v>
      </c>
      <c r="E912" s="77">
        <v>4</v>
      </c>
      <c r="F912" s="79">
        <f t="shared" si="14"/>
        <v>1192.4649999999999</v>
      </c>
      <c r="J912" s="78">
        <v>21791</v>
      </c>
      <c r="K912" s="78" t="s">
        <v>172</v>
      </c>
      <c r="L912" s="78">
        <v>1612.692</v>
      </c>
    </row>
    <row r="913" spans="1:12">
      <c r="A913" s="77">
        <v>683866</v>
      </c>
      <c r="B913" s="77">
        <v>21799</v>
      </c>
      <c r="C913" s="77" t="s">
        <v>180</v>
      </c>
      <c r="D913" s="77">
        <v>2.5</v>
      </c>
      <c r="E913" s="77">
        <v>2</v>
      </c>
      <c r="F913" s="79">
        <f t="shared" si="14"/>
        <v>1904.288</v>
      </c>
      <c r="J913" s="78">
        <v>21796</v>
      </c>
      <c r="K913" s="78" t="s">
        <v>170</v>
      </c>
      <c r="L913" s="78">
        <v>1192.4649999999999</v>
      </c>
    </row>
    <row r="914" spans="1:12">
      <c r="A914" s="77">
        <v>151659</v>
      </c>
      <c r="B914" s="77">
        <v>21816</v>
      </c>
      <c r="C914" s="77" t="s">
        <v>180</v>
      </c>
      <c r="D914" s="77">
        <v>2.5</v>
      </c>
      <c r="E914" s="77">
        <v>2</v>
      </c>
      <c r="F914" s="79">
        <f t="shared" si="14"/>
        <v>1192.4649999999999</v>
      </c>
      <c r="J914" s="78">
        <v>21799</v>
      </c>
      <c r="K914" s="78" t="s">
        <v>173</v>
      </c>
      <c r="L914" s="78">
        <v>1904.288</v>
      </c>
    </row>
    <row r="915" spans="1:12">
      <c r="A915" s="77">
        <v>191535</v>
      </c>
      <c r="B915" s="77">
        <v>21818</v>
      </c>
      <c r="C915" s="77" t="s">
        <v>180</v>
      </c>
      <c r="D915" s="77">
        <v>3</v>
      </c>
      <c r="E915" s="77">
        <v>1</v>
      </c>
      <c r="F915" s="79">
        <f t="shared" si="14"/>
        <v>2130.886</v>
      </c>
      <c r="J915" s="78">
        <v>21816</v>
      </c>
      <c r="K915" s="78" t="s">
        <v>170</v>
      </c>
      <c r="L915" s="78">
        <v>1192.4649999999999</v>
      </c>
    </row>
    <row r="916" spans="1:12">
      <c r="A916" s="77">
        <v>111591</v>
      </c>
      <c r="B916" s="77">
        <v>21828</v>
      </c>
      <c r="C916" s="77" t="s">
        <v>180</v>
      </c>
      <c r="D916" s="77">
        <v>2</v>
      </c>
      <c r="E916" s="77">
        <v>2</v>
      </c>
      <c r="F916" s="79">
        <f t="shared" si="14"/>
        <v>1904.288</v>
      </c>
      <c r="J916" s="78">
        <v>21818</v>
      </c>
      <c r="K916" s="78" t="s">
        <v>171</v>
      </c>
      <c r="L916" s="78">
        <v>2130.886</v>
      </c>
    </row>
    <row r="917" spans="1:12">
      <c r="A917" s="77">
        <v>103480</v>
      </c>
      <c r="B917" s="77">
        <v>21831</v>
      </c>
      <c r="C917" s="77" t="s">
        <v>180</v>
      </c>
      <c r="D917" s="77">
        <v>3.6</v>
      </c>
      <c r="E917" s="77">
        <v>1</v>
      </c>
      <c r="F917" s="79">
        <f t="shared" si="14"/>
        <v>1144.6790000000001</v>
      </c>
      <c r="J917" s="78">
        <v>21828</v>
      </c>
      <c r="K917" s="78" t="s">
        <v>173</v>
      </c>
      <c r="L917" s="78">
        <v>1904.288</v>
      </c>
    </row>
    <row r="918" spans="1:12">
      <c r="A918" s="77">
        <v>102085</v>
      </c>
      <c r="B918" s="77">
        <v>21856</v>
      </c>
      <c r="C918" s="77" t="s">
        <v>180</v>
      </c>
      <c r="D918" s="77">
        <v>1.4</v>
      </c>
      <c r="E918" s="77">
        <v>1</v>
      </c>
      <c r="F918" s="79">
        <f t="shared" si="14"/>
        <v>2130.886</v>
      </c>
      <c r="J918" s="78">
        <v>21831</v>
      </c>
      <c r="K918" s="78" t="s">
        <v>171</v>
      </c>
      <c r="L918" s="78">
        <v>1144.6790000000001</v>
      </c>
    </row>
    <row r="919" spans="1:12">
      <c r="A919" s="77">
        <v>157371</v>
      </c>
      <c r="B919" s="77">
        <v>21862</v>
      </c>
      <c r="C919" s="77" t="s">
        <v>180</v>
      </c>
      <c r="D919" s="77">
        <v>2</v>
      </c>
      <c r="E919" s="77">
        <v>3</v>
      </c>
      <c r="F919" s="79">
        <f t="shared" si="14"/>
        <v>1192.4649999999999</v>
      </c>
      <c r="J919" s="78">
        <v>21856</v>
      </c>
      <c r="K919" s="78" t="s">
        <v>171</v>
      </c>
      <c r="L919" s="78">
        <v>2130.886</v>
      </c>
    </row>
    <row r="920" spans="1:12">
      <c r="A920" s="77">
        <v>226171</v>
      </c>
      <c r="B920" s="77">
        <v>21877</v>
      </c>
      <c r="C920" s="77" t="s">
        <v>180</v>
      </c>
      <c r="D920" s="77">
        <v>2</v>
      </c>
      <c r="E920" s="77">
        <v>2</v>
      </c>
      <c r="F920" s="79">
        <f t="shared" si="14"/>
        <v>1904.288</v>
      </c>
      <c r="J920" s="78">
        <v>21862</v>
      </c>
      <c r="K920" s="78" t="s">
        <v>170</v>
      </c>
      <c r="L920" s="78">
        <v>1192.4649999999999</v>
      </c>
    </row>
    <row r="921" spans="1:12">
      <c r="A921" s="77">
        <v>171525</v>
      </c>
      <c r="B921" s="77">
        <v>21881</v>
      </c>
      <c r="C921" s="77" t="s">
        <v>180</v>
      </c>
      <c r="D921" s="77">
        <v>3</v>
      </c>
      <c r="E921" s="77">
        <v>1</v>
      </c>
      <c r="F921" s="79">
        <f t="shared" si="14"/>
        <v>1192.4649999999999</v>
      </c>
      <c r="J921" s="78">
        <v>21877</v>
      </c>
      <c r="K921" s="78" t="s">
        <v>173</v>
      </c>
      <c r="L921" s="78">
        <v>1904.288</v>
      </c>
    </row>
    <row r="922" spans="1:12">
      <c r="A922" s="77">
        <v>95608</v>
      </c>
      <c r="B922" s="77">
        <v>21883</v>
      </c>
      <c r="C922" s="77" t="s">
        <v>180</v>
      </c>
      <c r="D922" s="77">
        <v>1.5</v>
      </c>
      <c r="E922" s="77">
        <v>2</v>
      </c>
      <c r="F922" s="79">
        <f t="shared" si="14"/>
        <v>1144.6790000000001</v>
      </c>
      <c r="J922" s="78">
        <v>21881</v>
      </c>
      <c r="K922" s="78" t="s">
        <v>170</v>
      </c>
      <c r="L922" s="78">
        <v>1192.4649999999999</v>
      </c>
    </row>
    <row r="923" spans="1:12">
      <c r="A923" s="77">
        <v>108788</v>
      </c>
      <c r="B923" s="77">
        <v>21888</v>
      </c>
      <c r="C923" s="77" t="s">
        <v>180</v>
      </c>
      <c r="D923" s="77">
        <v>2.25</v>
      </c>
      <c r="E923" s="77">
        <v>1</v>
      </c>
      <c r="F923" s="79">
        <f t="shared" si="14"/>
        <v>8559.1039999999994</v>
      </c>
      <c r="J923" s="78">
        <v>21883</v>
      </c>
      <c r="K923" s="78" t="s">
        <v>171</v>
      </c>
      <c r="L923" s="78">
        <v>1144.6790000000001</v>
      </c>
    </row>
    <row r="924" spans="1:12">
      <c r="A924" s="77">
        <v>115371</v>
      </c>
      <c r="B924" s="77">
        <v>21889</v>
      </c>
      <c r="C924" s="77" t="s">
        <v>180</v>
      </c>
      <c r="D924" s="77">
        <v>2</v>
      </c>
      <c r="E924" s="77">
        <v>2</v>
      </c>
      <c r="F924" s="79">
        <f t="shared" si="14"/>
        <v>1925.059</v>
      </c>
      <c r="J924" s="78">
        <v>21888</v>
      </c>
      <c r="K924" s="78" t="s">
        <v>172</v>
      </c>
      <c r="L924" s="78">
        <v>8559.1039999999994</v>
      </c>
    </row>
    <row r="925" spans="1:12">
      <c r="A925" s="77">
        <v>127352</v>
      </c>
      <c r="B925" s="77">
        <v>21896</v>
      </c>
      <c r="C925" s="77" t="s">
        <v>180</v>
      </c>
      <c r="D925" s="77">
        <v>3.3</v>
      </c>
      <c r="E925" s="77">
        <v>2</v>
      </c>
      <c r="F925" s="79">
        <f t="shared" si="14"/>
        <v>1144.6790000000001</v>
      </c>
      <c r="J925" s="78">
        <v>21889</v>
      </c>
      <c r="K925" s="78" t="s">
        <v>172</v>
      </c>
      <c r="L925" s="78">
        <v>1925.059</v>
      </c>
    </row>
    <row r="926" spans="1:12">
      <c r="A926" s="77">
        <v>48760</v>
      </c>
      <c r="B926" s="77">
        <v>21898</v>
      </c>
      <c r="C926" s="77" t="s">
        <v>180</v>
      </c>
      <c r="D926" s="77">
        <v>2</v>
      </c>
      <c r="E926" s="77">
        <v>2</v>
      </c>
      <c r="F926" s="79">
        <f t="shared" si="14"/>
        <v>3785.7640000000001</v>
      </c>
      <c r="J926" s="78">
        <v>21896</v>
      </c>
      <c r="K926" s="78" t="s">
        <v>171</v>
      </c>
      <c r="L926" s="78">
        <v>1144.6790000000001</v>
      </c>
    </row>
    <row r="927" spans="1:12">
      <c r="A927" s="77">
        <v>784415</v>
      </c>
      <c r="B927" s="77">
        <v>21899</v>
      </c>
      <c r="C927" s="77" t="s">
        <v>180</v>
      </c>
      <c r="D927" s="77">
        <v>2</v>
      </c>
      <c r="E927" s="77">
        <v>1</v>
      </c>
      <c r="F927" s="79">
        <f t="shared" si="14"/>
        <v>8264.9449999999997</v>
      </c>
      <c r="J927" s="78">
        <v>21898</v>
      </c>
      <c r="K927" s="78" t="s">
        <v>170</v>
      </c>
      <c r="L927" s="78">
        <v>3785.7640000000001</v>
      </c>
    </row>
    <row r="928" spans="1:12">
      <c r="A928" s="77">
        <v>683219</v>
      </c>
      <c r="B928" s="77">
        <v>21905</v>
      </c>
      <c r="C928" s="77" t="s">
        <v>180</v>
      </c>
      <c r="D928" s="77">
        <v>2.25</v>
      </c>
      <c r="E928" s="77">
        <v>3</v>
      </c>
      <c r="F928" s="79">
        <f t="shared" si="14"/>
        <v>12271.31</v>
      </c>
      <c r="J928" s="78">
        <v>21899</v>
      </c>
      <c r="K928" s="78" t="s">
        <v>172</v>
      </c>
      <c r="L928" s="78">
        <v>8264.9449999999997</v>
      </c>
    </row>
    <row r="929" spans="1:12">
      <c r="A929" s="77">
        <v>160997</v>
      </c>
      <c r="B929" s="77">
        <v>21906</v>
      </c>
      <c r="C929" s="77" t="s">
        <v>180</v>
      </c>
      <c r="D929" s="77">
        <v>2</v>
      </c>
      <c r="E929" s="77">
        <v>2</v>
      </c>
      <c r="F929" s="79">
        <f t="shared" si="14"/>
        <v>2130.886</v>
      </c>
      <c r="J929" s="78">
        <v>21905</v>
      </c>
      <c r="K929" s="78" t="s">
        <v>173</v>
      </c>
      <c r="L929" s="78">
        <v>12271.31</v>
      </c>
    </row>
    <row r="930" spans="1:12">
      <c r="A930" s="77">
        <v>199078</v>
      </c>
      <c r="B930" s="77">
        <v>21914</v>
      </c>
      <c r="C930" s="77" t="s">
        <v>180</v>
      </c>
      <c r="D930" s="77">
        <v>4</v>
      </c>
      <c r="E930" s="77">
        <v>3</v>
      </c>
      <c r="F930" s="79">
        <f t="shared" si="14"/>
        <v>1612.692</v>
      </c>
      <c r="J930" s="78">
        <v>21906</v>
      </c>
      <c r="K930" s="78" t="s">
        <v>171</v>
      </c>
      <c r="L930" s="78">
        <v>2130.886</v>
      </c>
    </row>
    <row r="931" spans="1:12">
      <c r="A931" s="77">
        <v>111346</v>
      </c>
      <c r="B931" s="77">
        <v>21922</v>
      </c>
      <c r="C931" s="77" t="s">
        <v>180</v>
      </c>
      <c r="D931" s="77">
        <v>2.25</v>
      </c>
      <c r="E931" s="77">
        <v>2</v>
      </c>
      <c r="F931" s="79">
        <f t="shared" si="14"/>
        <v>1904.288</v>
      </c>
      <c r="J931" s="78">
        <v>21914</v>
      </c>
      <c r="K931" s="78" t="s">
        <v>172</v>
      </c>
      <c r="L931" s="78">
        <v>1612.692</v>
      </c>
    </row>
    <row r="932" spans="1:12">
      <c r="A932" s="77">
        <v>38230</v>
      </c>
      <c r="B932" s="77">
        <v>21934</v>
      </c>
      <c r="C932" s="77" t="s">
        <v>180</v>
      </c>
      <c r="D932" s="77">
        <v>1.75</v>
      </c>
      <c r="E932" s="77">
        <v>1</v>
      </c>
      <c r="F932" s="79">
        <f t="shared" si="14"/>
        <v>3785.7640000000001</v>
      </c>
      <c r="J932" s="78">
        <v>21922</v>
      </c>
      <c r="K932" s="78" t="s">
        <v>173</v>
      </c>
      <c r="L932" s="78">
        <v>1904.288</v>
      </c>
    </row>
    <row r="933" spans="1:12">
      <c r="A933" s="77">
        <v>52205</v>
      </c>
      <c r="B933" s="77">
        <v>21936</v>
      </c>
      <c r="C933" s="77" t="s">
        <v>180</v>
      </c>
      <c r="D933" s="77">
        <v>2.2000000000000002</v>
      </c>
      <c r="E933" s="77">
        <v>1</v>
      </c>
      <c r="F933" s="79">
        <f t="shared" si="14"/>
        <v>2130.886</v>
      </c>
      <c r="J933" s="78">
        <v>21934</v>
      </c>
      <c r="K933" s="78" t="s">
        <v>170</v>
      </c>
      <c r="L933" s="78">
        <v>3785.7640000000001</v>
      </c>
    </row>
    <row r="934" spans="1:12">
      <c r="A934" s="77">
        <v>200370</v>
      </c>
      <c r="B934" s="77">
        <v>21950</v>
      </c>
      <c r="C934" s="77" t="s">
        <v>180</v>
      </c>
      <c r="D934" s="77">
        <v>2.25</v>
      </c>
      <c r="E934" s="77">
        <v>1</v>
      </c>
      <c r="F934" s="79">
        <f t="shared" si="14"/>
        <v>2130.886</v>
      </c>
      <c r="J934" s="78">
        <v>21936</v>
      </c>
      <c r="K934" s="78" t="s">
        <v>171</v>
      </c>
      <c r="L934" s="78">
        <v>2130.886</v>
      </c>
    </row>
    <row r="935" spans="1:12">
      <c r="A935" s="77">
        <v>140579</v>
      </c>
      <c r="B935" s="77">
        <v>21951</v>
      </c>
      <c r="C935" s="77" t="s">
        <v>180</v>
      </c>
      <c r="D935" s="77">
        <v>1.75</v>
      </c>
      <c r="E935" s="77">
        <v>2</v>
      </c>
      <c r="F935" s="79">
        <f t="shared" si="14"/>
        <v>1192.4649999999999</v>
      </c>
      <c r="J935" s="78">
        <v>21950</v>
      </c>
      <c r="K935" s="78" t="s">
        <v>171</v>
      </c>
      <c r="L935" s="78">
        <v>2130.886</v>
      </c>
    </row>
    <row r="936" spans="1:12">
      <c r="A936" s="77">
        <v>229439</v>
      </c>
      <c r="B936" s="77">
        <v>21961</v>
      </c>
      <c r="C936" s="77" t="s">
        <v>180</v>
      </c>
      <c r="D936" s="77">
        <v>2</v>
      </c>
      <c r="E936" s="77">
        <v>2</v>
      </c>
      <c r="F936" s="79">
        <f t="shared" si="14"/>
        <v>2079.9929999999999</v>
      </c>
      <c r="J936" s="78">
        <v>21951</v>
      </c>
      <c r="K936" s="78" t="s">
        <v>170</v>
      </c>
      <c r="L936" s="78">
        <v>1192.4649999999999</v>
      </c>
    </row>
    <row r="937" spans="1:12">
      <c r="A937" s="77">
        <v>111426</v>
      </c>
      <c r="B937" s="77">
        <v>21967</v>
      </c>
      <c r="C937" s="77" t="s">
        <v>180</v>
      </c>
      <c r="D937" s="77">
        <v>4</v>
      </c>
      <c r="E937" s="77">
        <v>4</v>
      </c>
      <c r="F937" s="79">
        <f t="shared" si="14"/>
        <v>1904.288</v>
      </c>
      <c r="J937" s="78">
        <v>21961</v>
      </c>
      <c r="K937" s="78" t="s">
        <v>173</v>
      </c>
      <c r="L937" s="78">
        <v>2079.9929999999999</v>
      </c>
    </row>
    <row r="938" spans="1:12">
      <c r="A938" s="77">
        <v>83985</v>
      </c>
      <c r="B938" s="77">
        <v>21977</v>
      </c>
      <c r="C938" s="77" t="s">
        <v>180</v>
      </c>
      <c r="D938" s="77">
        <v>3</v>
      </c>
      <c r="E938" s="77">
        <v>1</v>
      </c>
      <c r="F938" s="79">
        <f t="shared" si="14"/>
        <v>8559.1039999999994</v>
      </c>
      <c r="J938" s="78">
        <v>21967</v>
      </c>
      <c r="K938" s="78" t="s">
        <v>173</v>
      </c>
      <c r="L938" s="78">
        <v>1904.288</v>
      </c>
    </row>
    <row r="939" spans="1:12">
      <c r="A939" s="77">
        <v>70544</v>
      </c>
      <c r="B939" s="77">
        <v>21978</v>
      </c>
      <c r="C939" s="77" t="s">
        <v>180</v>
      </c>
      <c r="D939" s="77">
        <v>2</v>
      </c>
      <c r="E939" s="77">
        <v>2</v>
      </c>
      <c r="F939" s="79">
        <f t="shared" si="14"/>
        <v>1904.288</v>
      </c>
      <c r="J939" s="78">
        <v>21974</v>
      </c>
      <c r="K939" s="78" t="s">
        <v>170</v>
      </c>
      <c r="L939" s="78">
        <v>3785.7640000000001</v>
      </c>
    </row>
    <row r="940" spans="1:12">
      <c r="A940" s="77">
        <v>136117</v>
      </c>
      <c r="B940" s="77">
        <v>21979</v>
      </c>
      <c r="C940" s="77" t="s">
        <v>180</v>
      </c>
      <c r="D940" s="77">
        <v>2.5</v>
      </c>
      <c r="E940" s="77">
        <v>2</v>
      </c>
      <c r="F940" s="79">
        <f t="shared" si="14"/>
        <v>1612.692</v>
      </c>
      <c r="J940" s="78">
        <v>21977</v>
      </c>
      <c r="K940" s="78" t="s">
        <v>172</v>
      </c>
      <c r="L940" s="78">
        <v>8559.1039999999994</v>
      </c>
    </row>
    <row r="941" spans="1:12">
      <c r="A941" s="77">
        <v>189921</v>
      </c>
      <c r="B941" s="77">
        <v>21981</v>
      </c>
      <c r="C941" s="77" t="s">
        <v>180</v>
      </c>
      <c r="D941" s="77">
        <v>3</v>
      </c>
      <c r="E941" s="77">
        <v>1</v>
      </c>
      <c r="F941" s="79">
        <f t="shared" si="14"/>
        <v>2079.9929999999999</v>
      </c>
      <c r="J941" s="78">
        <v>21978</v>
      </c>
      <c r="K941" s="78" t="s">
        <v>173</v>
      </c>
      <c r="L941" s="78">
        <v>1904.288</v>
      </c>
    </row>
    <row r="942" spans="1:12">
      <c r="A942" s="77">
        <v>124600</v>
      </c>
      <c r="B942" s="77">
        <v>21988</v>
      </c>
      <c r="C942" s="77" t="s">
        <v>180</v>
      </c>
      <c r="D942" s="77">
        <v>2</v>
      </c>
      <c r="E942" s="77">
        <v>2</v>
      </c>
      <c r="F942" s="79">
        <f t="shared" si="14"/>
        <v>2079.9929999999999</v>
      </c>
      <c r="J942" s="78">
        <v>21979</v>
      </c>
      <c r="K942" s="78" t="s">
        <v>172</v>
      </c>
      <c r="L942" s="78">
        <v>1612.692</v>
      </c>
    </row>
    <row r="943" spans="1:12">
      <c r="A943" s="77">
        <v>62921</v>
      </c>
      <c r="B943" s="77">
        <v>22000</v>
      </c>
      <c r="C943" s="77" t="s">
        <v>180</v>
      </c>
      <c r="D943" s="77">
        <v>2</v>
      </c>
      <c r="E943" s="77">
        <v>2</v>
      </c>
      <c r="F943" s="79">
        <f t="shared" si="14"/>
        <v>3785.7640000000001</v>
      </c>
      <c r="J943" s="78">
        <v>21981</v>
      </c>
      <c r="K943" s="78" t="s">
        <v>173</v>
      </c>
      <c r="L943" s="78">
        <v>2079.9929999999999</v>
      </c>
    </row>
    <row r="944" spans="1:12">
      <c r="A944" s="77">
        <v>88237</v>
      </c>
      <c r="B944" s="77">
        <v>22005</v>
      </c>
      <c r="C944" s="77" t="s">
        <v>180</v>
      </c>
      <c r="D944" s="77">
        <v>1.5</v>
      </c>
      <c r="E944" s="77">
        <v>2</v>
      </c>
      <c r="F944" s="79">
        <f t="shared" si="14"/>
        <v>1144.6790000000001</v>
      </c>
      <c r="J944" s="78">
        <v>21988</v>
      </c>
      <c r="K944" s="78" t="s">
        <v>173</v>
      </c>
      <c r="L944" s="78">
        <v>2079.9929999999999</v>
      </c>
    </row>
    <row r="945" spans="1:12">
      <c r="A945" s="77">
        <v>32297</v>
      </c>
      <c r="B945" s="77">
        <v>22015</v>
      </c>
      <c r="C945" s="77" t="s">
        <v>180</v>
      </c>
      <c r="D945" s="77">
        <v>2.5</v>
      </c>
      <c r="E945" s="77">
        <v>1</v>
      </c>
      <c r="F945" s="79">
        <f t="shared" si="14"/>
        <v>2130.886</v>
      </c>
      <c r="J945" s="78">
        <v>22000</v>
      </c>
      <c r="K945" s="78" t="s">
        <v>170</v>
      </c>
      <c r="L945" s="78">
        <v>3785.7640000000001</v>
      </c>
    </row>
    <row r="946" spans="1:12">
      <c r="A946" s="77">
        <v>64021</v>
      </c>
      <c r="B946" s="77">
        <v>22019</v>
      </c>
      <c r="C946" s="77" t="s">
        <v>180</v>
      </c>
      <c r="D946" s="77">
        <v>1.5</v>
      </c>
      <c r="E946" s="77">
        <v>2</v>
      </c>
      <c r="F946" s="79">
        <f t="shared" si="14"/>
        <v>1904.288</v>
      </c>
      <c r="J946" s="78">
        <v>22005</v>
      </c>
      <c r="K946" s="78" t="s">
        <v>171</v>
      </c>
      <c r="L946" s="78">
        <v>1144.6790000000001</v>
      </c>
    </row>
    <row r="947" spans="1:12">
      <c r="A947" s="77">
        <v>203495</v>
      </c>
      <c r="B947" s="77">
        <v>22021</v>
      </c>
      <c r="C947" s="77" t="s">
        <v>180</v>
      </c>
      <c r="D947" s="77">
        <v>2</v>
      </c>
      <c r="E947" s="77">
        <v>1</v>
      </c>
      <c r="F947" s="79">
        <f t="shared" si="14"/>
        <v>1192.4649999999999</v>
      </c>
      <c r="J947" s="78">
        <v>22015</v>
      </c>
      <c r="K947" s="78" t="s">
        <v>171</v>
      </c>
      <c r="L947" s="78">
        <v>2130.886</v>
      </c>
    </row>
    <row r="948" spans="1:12">
      <c r="A948" s="77">
        <v>111024</v>
      </c>
      <c r="B948" s="77">
        <v>22023</v>
      </c>
      <c r="C948" s="77" t="s">
        <v>180</v>
      </c>
      <c r="D948" s="77">
        <v>4.4000000000000004</v>
      </c>
      <c r="E948" s="77">
        <v>3</v>
      </c>
      <c r="F948" s="79">
        <f t="shared" si="14"/>
        <v>2079.9929999999999</v>
      </c>
      <c r="J948" s="78">
        <v>22019</v>
      </c>
      <c r="K948" s="78" t="s">
        <v>173</v>
      </c>
      <c r="L948" s="78">
        <v>1904.288</v>
      </c>
    </row>
    <row r="949" spans="1:12">
      <c r="A949" s="77">
        <v>173875</v>
      </c>
      <c r="B949" s="77">
        <v>22024</v>
      </c>
      <c r="C949" s="77" t="s">
        <v>180</v>
      </c>
      <c r="D949" s="77">
        <v>1</v>
      </c>
      <c r="E949" s="77">
        <v>1</v>
      </c>
      <c r="F949" s="79">
        <f t="shared" si="14"/>
        <v>1192.4649999999999</v>
      </c>
      <c r="J949" s="78">
        <v>22021</v>
      </c>
      <c r="K949" s="78" t="s">
        <v>170</v>
      </c>
      <c r="L949" s="78">
        <v>1192.4649999999999</v>
      </c>
    </row>
    <row r="950" spans="1:12">
      <c r="A950" s="77">
        <v>93896</v>
      </c>
      <c r="B950" s="77">
        <v>22039</v>
      </c>
      <c r="C950" s="77" t="s">
        <v>180</v>
      </c>
      <c r="D950" s="77">
        <v>2.75</v>
      </c>
      <c r="E950" s="77">
        <v>2</v>
      </c>
      <c r="F950" s="79">
        <f t="shared" si="14"/>
        <v>1904.288</v>
      </c>
      <c r="J950" s="78">
        <v>22023</v>
      </c>
      <c r="K950" s="78" t="s">
        <v>173</v>
      </c>
      <c r="L950" s="78">
        <v>2079.9929999999999</v>
      </c>
    </row>
    <row r="951" spans="1:12">
      <c r="A951" s="77">
        <v>143936</v>
      </c>
      <c r="B951" s="77">
        <v>22041</v>
      </c>
      <c r="C951" s="77" t="s">
        <v>180</v>
      </c>
      <c r="D951" s="77">
        <v>2</v>
      </c>
      <c r="E951" s="77">
        <v>2</v>
      </c>
      <c r="F951" s="79">
        <f t="shared" si="14"/>
        <v>2130.886</v>
      </c>
      <c r="J951" s="78">
        <v>22024</v>
      </c>
      <c r="K951" s="78" t="s">
        <v>170</v>
      </c>
      <c r="L951" s="78">
        <v>1192.4649999999999</v>
      </c>
    </row>
    <row r="952" spans="1:12">
      <c r="A952" s="77">
        <v>104975</v>
      </c>
      <c r="B952" s="77">
        <v>22047</v>
      </c>
      <c r="C952" s="77" t="s">
        <v>180</v>
      </c>
      <c r="D952" s="77">
        <v>1.75</v>
      </c>
      <c r="E952" s="77">
        <v>2</v>
      </c>
      <c r="F952" s="79">
        <f t="shared" si="14"/>
        <v>3785.7640000000001</v>
      </c>
      <c r="J952" s="78">
        <v>22039</v>
      </c>
      <c r="K952" s="78" t="s">
        <v>173</v>
      </c>
      <c r="L952" s="78">
        <v>1904.288</v>
      </c>
    </row>
    <row r="953" spans="1:12">
      <c r="A953" s="77">
        <v>226274</v>
      </c>
      <c r="B953" s="77">
        <v>22052</v>
      </c>
      <c r="C953" s="77" t="s">
        <v>180</v>
      </c>
      <c r="D953" s="77">
        <v>2</v>
      </c>
      <c r="E953" s="77">
        <v>2</v>
      </c>
      <c r="F953" s="79">
        <f t="shared" si="14"/>
        <v>1904.288</v>
      </c>
      <c r="J953" s="78">
        <v>22041</v>
      </c>
      <c r="K953" s="78" t="s">
        <v>171</v>
      </c>
      <c r="L953" s="78">
        <v>2130.886</v>
      </c>
    </row>
    <row r="954" spans="1:12">
      <c r="A954" s="77">
        <v>42348</v>
      </c>
      <c r="B954" s="77">
        <v>22053</v>
      </c>
      <c r="C954" s="77" t="s">
        <v>180</v>
      </c>
      <c r="D954" s="77">
        <v>2.75</v>
      </c>
      <c r="E954" s="77">
        <v>2</v>
      </c>
      <c r="F954" s="79">
        <f t="shared" si="14"/>
        <v>2079.9929999999999</v>
      </c>
      <c r="J954" s="78">
        <v>22047</v>
      </c>
      <c r="K954" s="78" t="s">
        <v>170</v>
      </c>
      <c r="L954" s="78">
        <v>3785.7640000000001</v>
      </c>
    </row>
    <row r="955" spans="1:12">
      <c r="A955" s="77">
        <v>74872</v>
      </c>
      <c r="B955" s="77">
        <v>22059</v>
      </c>
      <c r="C955" s="77" t="s">
        <v>180</v>
      </c>
      <c r="D955" s="77">
        <v>1.5</v>
      </c>
      <c r="E955" s="77">
        <v>2</v>
      </c>
      <c r="F955" s="79">
        <f t="shared" si="14"/>
        <v>1904.288</v>
      </c>
      <c r="J955" s="78">
        <v>22052</v>
      </c>
      <c r="K955" s="78" t="s">
        <v>173</v>
      </c>
      <c r="L955" s="78">
        <v>1904.288</v>
      </c>
    </row>
    <row r="956" spans="1:12">
      <c r="A956" s="77">
        <v>226636</v>
      </c>
      <c r="B956" s="77">
        <v>22061</v>
      </c>
      <c r="C956" s="77" t="s">
        <v>180</v>
      </c>
      <c r="D956" s="77">
        <v>3</v>
      </c>
      <c r="E956" s="77">
        <v>2</v>
      </c>
      <c r="F956" s="79">
        <f t="shared" si="14"/>
        <v>1904.288</v>
      </c>
      <c r="J956" s="78">
        <v>22053</v>
      </c>
      <c r="K956" s="78" t="s">
        <v>173</v>
      </c>
      <c r="L956" s="78">
        <v>2079.9929999999999</v>
      </c>
    </row>
    <row r="957" spans="1:12">
      <c r="A957" s="77">
        <v>720010</v>
      </c>
      <c r="B957" s="77">
        <v>22077</v>
      </c>
      <c r="C957" s="77" t="s">
        <v>180</v>
      </c>
      <c r="D957" s="77">
        <v>1</v>
      </c>
      <c r="E957" s="77">
        <v>1</v>
      </c>
      <c r="F957" s="79">
        <f t="shared" si="14"/>
        <v>3785.7640000000001</v>
      </c>
      <c r="J957" s="78">
        <v>22059</v>
      </c>
      <c r="K957" s="78" t="s">
        <v>173</v>
      </c>
      <c r="L957" s="78">
        <v>1904.288</v>
      </c>
    </row>
    <row r="958" spans="1:12">
      <c r="A958" s="77">
        <v>176806</v>
      </c>
      <c r="B958" s="77">
        <v>22084</v>
      </c>
      <c r="C958" s="77" t="s">
        <v>180</v>
      </c>
      <c r="D958" s="77">
        <v>4</v>
      </c>
      <c r="E958" s="77">
        <v>2</v>
      </c>
      <c r="F958" s="79">
        <f t="shared" si="14"/>
        <v>2130.886</v>
      </c>
      <c r="J958" s="78">
        <v>22061</v>
      </c>
      <c r="K958" s="78" t="s">
        <v>173</v>
      </c>
      <c r="L958" s="78">
        <v>1904.288</v>
      </c>
    </row>
    <row r="959" spans="1:12">
      <c r="A959" s="77">
        <v>720101</v>
      </c>
      <c r="B959" s="77">
        <v>22086</v>
      </c>
      <c r="C959" s="77" t="s">
        <v>180</v>
      </c>
      <c r="D959" s="77">
        <v>2</v>
      </c>
      <c r="E959" s="77">
        <v>2</v>
      </c>
      <c r="F959" s="79">
        <f t="shared" si="14"/>
        <v>3785.7640000000001</v>
      </c>
      <c r="J959" s="78">
        <v>22077</v>
      </c>
      <c r="K959" s="78" t="s">
        <v>170</v>
      </c>
      <c r="L959" s="78">
        <v>3785.7640000000001</v>
      </c>
    </row>
    <row r="960" spans="1:12">
      <c r="A960" s="77">
        <v>201901</v>
      </c>
      <c r="B960" s="77">
        <v>22087</v>
      </c>
      <c r="C960" s="77" t="s">
        <v>180</v>
      </c>
      <c r="D960" s="77">
        <v>2.25</v>
      </c>
      <c r="E960" s="77">
        <v>2</v>
      </c>
      <c r="F960" s="79">
        <f t="shared" si="14"/>
        <v>1612.692</v>
      </c>
      <c r="J960" s="78">
        <v>22084</v>
      </c>
      <c r="K960" s="78" t="s">
        <v>171</v>
      </c>
      <c r="L960" s="78">
        <v>2130.886</v>
      </c>
    </row>
    <row r="961" spans="1:12">
      <c r="A961" s="77">
        <v>144155</v>
      </c>
      <c r="B961" s="77">
        <v>22095</v>
      </c>
      <c r="C961" s="77" t="s">
        <v>180</v>
      </c>
      <c r="D961" s="77">
        <v>5</v>
      </c>
      <c r="E961" s="77">
        <v>2</v>
      </c>
      <c r="F961" s="79">
        <f t="shared" si="14"/>
        <v>2130.886</v>
      </c>
      <c r="J961" s="78">
        <v>22086</v>
      </c>
      <c r="K961" s="78" t="s">
        <v>170</v>
      </c>
      <c r="L961" s="78">
        <v>3785.7640000000001</v>
      </c>
    </row>
    <row r="962" spans="1:12">
      <c r="A962" s="77">
        <v>76093</v>
      </c>
      <c r="B962" s="77">
        <v>22096</v>
      </c>
      <c r="C962" s="77" t="s">
        <v>180</v>
      </c>
      <c r="D962" s="77">
        <v>2.5</v>
      </c>
      <c r="E962" s="77">
        <v>2</v>
      </c>
      <c r="F962" s="79">
        <f t="shared" si="14"/>
        <v>3785.7640000000001</v>
      </c>
      <c r="J962" s="78">
        <v>22087</v>
      </c>
      <c r="K962" s="78" t="s">
        <v>172</v>
      </c>
      <c r="L962" s="78">
        <v>1612.692</v>
      </c>
    </row>
    <row r="963" spans="1:12">
      <c r="A963" s="77">
        <v>114240</v>
      </c>
      <c r="B963" s="77">
        <v>22108</v>
      </c>
      <c r="C963" s="77" t="s">
        <v>180</v>
      </c>
      <c r="D963" s="77">
        <v>2.5</v>
      </c>
      <c r="E963" s="77">
        <v>2</v>
      </c>
      <c r="F963" s="79">
        <f t="shared" ref="F963:F1026" si="15">VLOOKUP(B963,$J$2:$L$1405,3,FALSE)</f>
        <v>1612.692</v>
      </c>
      <c r="J963" s="78">
        <v>22095</v>
      </c>
      <c r="K963" s="78" t="s">
        <v>171</v>
      </c>
      <c r="L963" s="78">
        <v>2130.886</v>
      </c>
    </row>
    <row r="964" spans="1:12">
      <c r="A964" s="77">
        <v>211125</v>
      </c>
      <c r="B964" s="77">
        <v>22109</v>
      </c>
      <c r="C964" s="77" t="s">
        <v>180</v>
      </c>
      <c r="D964" s="77">
        <v>2.25</v>
      </c>
      <c r="E964" s="77">
        <v>1</v>
      </c>
      <c r="F964" s="79">
        <f t="shared" si="15"/>
        <v>1904.288</v>
      </c>
      <c r="J964" s="78">
        <v>22096</v>
      </c>
      <c r="K964" s="78" t="s">
        <v>170</v>
      </c>
      <c r="L964" s="78">
        <v>3785.7640000000001</v>
      </c>
    </row>
    <row r="965" spans="1:12">
      <c r="A965" s="77">
        <v>242270</v>
      </c>
      <c r="B965" s="77">
        <v>22123</v>
      </c>
      <c r="C965" s="77" t="s">
        <v>180</v>
      </c>
      <c r="D965" s="77">
        <v>1.5</v>
      </c>
      <c r="E965" s="77">
        <v>1</v>
      </c>
      <c r="F965" s="79">
        <f t="shared" si="15"/>
        <v>1192.4649999999999</v>
      </c>
      <c r="J965" s="78">
        <v>22108</v>
      </c>
      <c r="K965" s="78" t="s">
        <v>172</v>
      </c>
      <c r="L965" s="78">
        <v>1612.692</v>
      </c>
    </row>
    <row r="966" spans="1:12">
      <c r="A966" s="77">
        <v>802435</v>
      </c>
      <c r="B966" s="77">
        <v>22124</v>
      </c>
      <c r="C966" s="77" t="s">
        <v>180</v>
      </c>
      <c r="D966" s="77">
        <v>1.75</v>
      </c>
      <c r="E966" s="77">
        <v>3</v>
      </c>
      <c r="F966" s="79">
        <f t="shared" si="15"/>
        <v>4360.1880000000001</v>
      </c>
      <c r="J966" s="78">
        <v>22109</v>
      </c>
      <c r="K966" s="78" t="s">
        <v>173</v>
      </c>
      <c r="L966" s="78">
        <v>1904.288</v>
      </c>
    </row>
    <row r="967" spans="1:12">
      <c r="A967" s="77">
        <v>107313</v>
      </c>
      <c r="B967" s="77">
        <v>22125</v>
      </c>
      <c r="C967" s="77" t="s">
        <v>180</v>
      </c>
      <c r="D967" s="77">
        <v>2.4</v>
      </c>
      <c r="E967" s="77">
        <v>1</v>
      </c>
      <c r="F967" s="79">
        <f t="shared" si="15"/>
        <v>2079.9929999999999</v>
      </c>
      <c r="J967" s="78">
        <v>22123</v>
      </c>
      <c r="K967" s="78" t="s">
        <v>170</v>
      </c>
      <c r="L967" s="78">
        <v>1192.4649999999999</v>
      </c>
    </row>
    <row r="968" spans="1:12">
      <c r="A968" s="77">
        <v>719892</v>
      </c>
      <c r="B968" s="77">
        <v>22127</v>
      </c>
      <c r="C968" s="77" t="s">
        <v>180</v>
      </c>
      <c r="D968" s="77">
        <v>2</v>
      </c>
      <c r="E968" s="77">
        <v>2</v>
      </c>
      <c r="F968" s="79">
        <f t="shared" si="15"/>
        <v>3785.7640000000001</v>
      </c>
      <c r="J968" s="78">
        <v>22124</v>
      </c>
      <c r="K968" s="78" t="s">
        <v>173</v>
      </c>
      <c r="L968" s="78">
        <v>4360.1880000000001</v>
      </c>
    </row>
    <row r="969" spans="1:12">
      <c r="A969" s="77">
        <v>222378</v>
      </c>
      <c r="B969" s="77">
        <v>22129</v>
      </c>
      <c r="C969" s="77" t="s">
        <v>180</v>
      </c>
      <c r="D969" s="77">
        <v>2</v>
      </c>
      <c r="E969" s="77">
        <v>3</v>
      </c>
      <c r="F969" s="79">
        <f t="shared" si="15"/>
        <v>1925.059</v>
      </c>
      <c r="J969" s="78">
        <v>22125</v>
      </c>
      <c r="K969" s="78" t="s">
        <v>173</v>
      </c>
      <c r="L969" s="78">
        <v>2079.9929999999999</v>
      </c>
    </row>
    <row r="970" spans="1:12">
      <c r="A970" s="77">
        <v>138278</v>
      </c>
      <c r="B970" s="77">
        <v>22131</v>
      </c>
      <c r="C970" s="77" t="s">
        <v>180</v>
      </c>
      <c r="D970" s="77">
        <v>2.5</v>
      </c>
      <c r="E970" s="77">
        <v>1</v>
      </c>
      <c r="F970" s="79">
        <f t="shared" si="15"/>
        <v>8264.9449999999997</v>
      </c>
      <c r="J970" s="78">
        <v>22127</v>
      </c>
      <c r="K970" s="78" t="s">
        <v>170</v>
      </c>
      <c r="L970" s="78">
        <v>3785.7640000000001</v>
      </c>
    </row>
    <row r="971" spans="1:12">
      <c r="A971" s="77">
        <v>233400</v>
      </c>
      <c r="B971" s="77">
        <v>22138</v>
      </c>
      <c r="C971" s="77" t="s">
        <v>180</v>
      </c>
      <c r="D971" s="77">
        <v>2</v>
      </c>
      <c r="E971" s="77">
        <v>2</v>
      </c>
      <c r="F971" s="79">
        <f t="shared" si="15"/>
        <v>3785.7640000000001</v>
      </c>
      <c r="J971" s="78">
        <v>22129</v>
      </c>
      <c r="K971" s="78" t="s">
        <v>172</v>
      </c>
      <c r="L971" s="78">
        <v>1925.059</v>
      </c>
    </row>
    <row r="972" spans="1:12">
      <c r="A972" s="77">
        <v>675572</v>
      </c>
      <c r="B972" s="77">
        <v>22144</v>
      </c>
      <c r="C972" s="77" t="s">
        <v>180</v>
      </c>
      <c r="D972" s="77">
        <v>2.25</v>
      </c>
      <c r="E972" s="77">
        <v>2</v>
      </c>
      <c r="F972" s="79">
        <f t="shared" si="15"/>
        <v>3785.7640000000001</v>
      </c>
      <c r="J972" s="78">
        <v>22131</v>
      </c>
      <c r="K972" s="78" t="s">
        <v>172</v>
      </c>
      <c r="L972" s="78">
        <v>8264.9449999999997</v>
      </c>
    </row>
    <row r="973" spans="1:12">
      <c r="A973" s="77">
        <v>184088</v>
      </c>
      <c r="B973" s="77">
        <v>22153</v>
      </c>
      <c r="C973" s="77" t="s">
        <v>180</v>
      </c>
      <c r="D973" s="77">
        <v>2</v>
      </c>
      <c r="E973" s="77">
        <v>2</v>
      </c>
      <c r="F973" s="79">
        <f t="shared" si="15"/>
        <v>1192.4649999999999</v>
      </c>
      <c r="J973" s="78">
        <v>22138</v>
      </c>
      <c r="K973" s="78" t="s">
        <v>170</v>
      </c>
      <c r="L973" s="78">
        <v>3785.7640000000001</v>
      </c>
    </row>
    <row r="974" spans="1:12">
      <c r="A974" s="77">
        <v>178264</v>
      </c>
      <c r="B974" s="77">
        <v>22159</v>
      </c>
      <c r="C974" s="77" t="s">
        <v>180</v>
      </c>
      <c r="D974" s="77">
        <v>2</v>
      </c>
      <c r="E974" s="77">
        <v>2</v>
      </c>
      <c r="F974" s="79">
        <f t="shared" si="15"/>
        <v>1192.4649999999999</v>
      </c>
      <c r="J974" s="78">
        <v>22144</v>
      </c>
      <c r="K974" s="78" t="s">
        <v>170</v>
      </c>
      <c r="L974" s="78">
        <v>3785.7640000000001</v>
      </c>
    </row>
    <row r="975" spans="1:12">
      <c r="A975" s="77">
        <v>130027</v>
      </c>
      <c r="B975" s="77">
        <v>22172</v>
      </c>
      <c r="C975" s="77" t="s">
        <v>180</v>
      </c>
      <c r="D975" s="77">
        <v>1.25</v>
      </c>
      <c r="E975" s="77">
        <v>2</v>
      </c>
      <c r="F975" s="79">
        <f t="shared" si="15"/>
        <v>1904.288</v>
      </c>
      <c r="J975" s="78">
        <v>22153</v>
      </c>
      <c r="K975" s="78" t="s">
        <v>170</v>
      </c>
      <c r="L975" s="78">
        <v>1192.4649999999999</v>
      </c>
    </row>
    <row r="976" spans="1:12">
      <c r="A976" s="77">
        <v>174626</v>
      </c>
      <c r="B976" s="77">
        <v>22175</v>
      </c>
      <c r="C976" s="77" t="s">
        <v>180</v>
      </c>
      <c r="D976" s="77">
        <v>2</v>
      </c>
      <c r="E976" s="77">
        <v>2</v>
      </c>
      <c r="F976" s="79">
        <f t="shared" si="15"/>
        <v>2079.9929999999999</v>
      </c>
      <c r="J976" s="78">
        <v>22159</v>
      </c>
      <c r="K976" s="78" t="s">
        <v>170</v>
      </c>
      <c r="L976" s="78">
        <v>1192.4649999999999</v>
      </c>
    </row>
    <row r="977" spans="1:12">
      <c r="A977" s="77">
        <v>176219</v>
      </c>
      <c r="B977" s="77">
        <v>22176</v>
      </c>
      <c r="C977" s="77" t="s">
        <v>180</v>
      </c>
      <c r="D977" s="77">
        <v>2</v>
      </c>
      <c r="E977" s="77">
        <v>3</v>
      </c>
      <c r="F977" s="79">
        <f t="shared" si="15"/>
        <v>2130.886</v>
      </c>
      <c r="J977" s="78">
        <v>22172</v>
      </c>
      <c r="K977" s="78" t="s">
        <v>173</v>
      </c>
      <c r="L977" s="78">
        <v>1904.288</v>
      </c>
    </row>
    <row r="978" spans="1:12">
      <c r="A978" s="77">
        <v>722484</v>
      </c>
      <c r="B978" s="77">
        <v>22177</v>
      </c>
      <c r="C978" s="77" t="s">
        <v>180</v>
      </c>
      <c r="D978" s="77">
        <v>2</v>
      </c>
      <c r="E978" s="77">
        <v>4</v>
      </c>
      <c r="F978" s="79">
        <f t="shared" si="15"/>
        <v>1612.692</v>
      </c>
      <c r="J978" s="78">
        <v>22175</v>
      </c>
      <c r="K978" s="78" t="s">
        <v>173</v>
      </c>
      <c r="L978" s="78">
        <v>2079.9929999999999</v>
      </c>
    </row>
    <row r="979" spans="1:12">
      <c r="A979" s="77">
        <v>209010</v>
      </c>
      <c r="B979" s="77">
        <v>22179</v>
      </c>
      <c r="C979" s="77" t="s">
        <v>180</v>
      </c>
      <c r="D979" s="77">
        <v>3</v>
      </c>
      <c r="E979" s="77">
        <v>1</v>
      </c>
      <c r="F979" s="79">
        <f t="shared" si="15"/>
        <v>3785.7640000000001</v>
      </c>
      <c r="J979" s="78">
        <v>22176</v>
      </c>
      <c r="K979" s="78" t="s">
        <v>171</v>
      </c>
      <c r="L979" s="78">
        <v>2130.886</v>
      </c>
    </row>
    <row r="980" spans="1:12">
      <c r="A980" s="77">
        <v>156119</v>
      </c>
      <c r="B980" s="77">
        <v>22180</v>
      </c>
      <c r="C980" s="77" t="s">
        <v>180</v>
      </c>
      <c r="D980" s="77">
        <v>1.75</v>
      </c>
      <c r="E980" s="77">
        <v>2</v>
      </c>
      <c r="F980" s="79">
        <f t="shared" si="15"/>
        <v>2079.9929999999999</v>
      </c>
      <c r="J980" s="78">
        <v>22177</v>
      </c>
      <c r="K980" s="78" t="s">
        <v>172</v>
      </c>
      <c r="L980" s="78">
        <v>1612.692</v>
      </c>
    </row>
    <row r="981" spans="1:12">
      <c r="A981" s="77">
        <v>205939</v>
      </c>
      <c r="B981" s="77">
        <v>22181</v>
      </c>
      <c r="C981" s="77" t="s">
        <v>180</v>
      </c>
      <c r="D981" s="77">
        <v>2.5</v>
      </c>
      <c r="E981" s="77">
        <v>1</v>
      </c>
      <c r="F981" s="79">
        <f t="shared" si="15"/>
        <v>1192.4649999999999</v>
      </c>
      <c r="J981" s="78">
        <v>22179</v>
      </c>
      <c r="K981" s="78" t="s">
        <v>170</v>
      </c>
      <c r="L981" s="78">
        <v>3785.7640000000001</v>
      </c>
    </row>
    <row r="982" spans="1:12">
      <c r="A982" s="77">
        <v>106959</v>
      </c>
      <c r="B982" s="77">
        <v>22186</v>
      </c>
      <c r="C982" s="77" t="s">
        <v>180</v>
      </c>
      <c r="D982" s="77">
        <v>1</v>
      </c>
      <c r="E982" s="77">
        <v>2</v>
      </c>
      <c r="F982" s="79">
        <f t="shared" si="15"/>
        <v>3785.7640000000001</v>
      </c>
      <c r="J982" s="78">
        <v>22180</v>
      </c>
      <c r="K982" s="78" t="s">
        <v>173</v>
      </c>
      <c r="L982" s="78">
        <v>2079.9929999999999</v>
      </c>
    </row>
    <row r="983" spans="1:12">
      <c r="A983" s="77">
        <v>803333</v>
      </c>
      <c r="B983" s="77">
        <v>22187</v>
      </c>
      <c r="C983" s="77" t="s">
        <v>180</v>
      </c>
      <c r="D983" s="77">
        <v>2.5</v>
      </c>
      <c r="E983" s="77">
        <v>1</v>
      </c>
      <c r="F983" s="79">
        <f t="shared" si="15"/>
        <v>1612.692</v>
      </c>
      <c r="J983" s="78">
        <v>22181</v>
      </c>
      <c r="K983" s="78" t="s">
        <v>170</v>
      </c>
      <c r="L983" s="78">
        <v>1192.4649999999999</v>
      </c>
    </row>
    <row r="984" spans="1:12">
      <c r="A984" s="77">
        <v>194875</v>
      </c>
      <c r="B984" s="77">
        <v>22191</v>
      </c>
      <c r="C984" s="77" t="s">
        <v>180</v>
      </c>
      <c r="D984" s="77">
        <v>1.5</v>
      </c>
      <c r="E984" s="77">
        <v>1</v>
      </c>
      <c r="F984" s="79">
        <f t="shared" si="15"/>
        <v>8559.1039999999994</v>
      </c>
      <c r="J984" s="78">
        <v>22186</v>
      </c>
      <c r="K984" s="78" t="s">
        <v>170</v>
      </c>
      <c r="L984" s="78">
        <v>3785.7640000000001</v>
      </c>
    </row>
    <row r="985" spans="1:12">
      <c r="A985" s="77">
        <v>718148</v>
      </c>
      <c r="B985" s="77">
        <v>22198</v>
      </c>
      <c r="C985" s="77" t="s">
        <v>180</v>
      </c>
      <c r="D985" s="77">
        <v>2</v>
      </c>
      <c r="E985" s="77">
        <v>5</v>
      </c>
      <c r="F985" s="79">
        <f t="shared" si="15"/>
        <v>3785.7640000000001</v>
      </c>
      <c r="J985" s="78">
        <v>22187</v>
      </c>
      <c r="K985" s="78" t="s">
        <v>172</v>
      </c>
      <c r="L985" s="78">
        <v>1612.692</v>
      </c>
    </row>
    <row r="986" spans="1:12">
      <c r="A986" s="77">
        <v>140487</v>
      </c>
      <c r="B986" s="77">
        <v>22200</v>
      </c>
      <c r="C986" s="77" t="s">
        <v>180</v>
      </c>
      <c r="D986" s="77">
        <v>2.5</v>
      </c>
      <c r="E986" s="77">
        <v>2</v>
      </c>
      <c r="F986" s="79">
        <f t="shared" si="15"/>
        <v>1192.4649999999999</v>
      </c>
      <c r="J986" s="78">
        <v>22191</v>
      </c>
      <c r="K986" s="78" t="s">
        <v>172</v>
      </c>
      <c r="L986" s="78">
        <v>8559.1039999999994</v>
      </c>
    </row>
    <row r="987" spans="1:12">
      <c r="A987" s="77">
        <v>88677</v>
      </c>
      <c r="B987" s="77">
        <v>22203</v>
      </c>
      <c r="C987" s="77" t="s">
        <v>180</v>
      </c>
      <c r="D987" s="77">
        <v>2.75</v>
      </c>
      <c r="E987" s="77">
        <v>1</v>
      </c>
      <c r="F987" s="79">
        <f t="shared" si="15"/>
        <v>1925.059</v>
      </c>
      <c r="J987" s="78">
        <v>22198</v>
      </c>
      <c r="K987" s="78" t="s">
        <v>170</v>
      </c>
      <c r="L987" s="78">
        <v>3785.7640000000001</v>
      </c>
    </row>
    <row r="988" spans="1:12">
      <c r="A988" s="77">
        <v>126199</v>
      </c>
      <c r="B988" s="77">
        <v>22205</v>
      </c>
      <c r="C988" s="77" t="s">
        <v>180</v>
      </c>
      <c r="D988" s="77">
        <v>2</v>
      </c>
      <c r="E988" s="77">
        <v>2</v>
      </c>
      <c r="F988" s="79">
        <f t="shared" si="15"/>
        <v>1904.288</v>
      </c>
      <c r="J988" s="78">
        <v>22200</v>
      </c>
      <c r="K988" s="78" t="s">
        <v>170</v>
      </c>
      <c r="L988" s="78">
        <v>1192.4649999999999</v>
      </c>
    </row>
    <row r="989" spans="1:12">
      <c r="A989" s="77">
        <v>116549</v>
      </c>
      <c r="B989" s="77">
        <v>22212</v>
      </c>
      <c r="C989" s="77" t="s">
        <v>180</v>
      </c>
      <c r="D989" s="77">
        <v>3.25</v>
      </c>
      <c r="E989" s="77">
        <v>1</v>
      </c>
      <c r="F989" s="79">
        <f t="shared" si="15"/>
        <v>1612.692</v>
      </c>
      <c r="J989" s="78">
        <v>22203</v>
      </c>
      <c r="K989" s="78" t="s">
        <v>172</v>
      </c>
      <c r="L989" s="78">
        <v>1925.059</v>
      </c>
    </row>
    <row r="990" spans="1:12">
      <c r="A990" s="77">
        <v>231174</v>
      </c>
      <c r="B990" s="77">
        <v>22214</v>
      </c>
      <c r="C990" s="77" t="s">
        <v>180</v>
      </c>
      <c r="D990" s="77">
        <v>2.75</v>
      </c>
      <c r="E990" s="77">
        <v>2</v>
      </c>
      <c r="F990" s="79">
        <f t="shared" si="15"/>
        <v>2130.886</v>
      </c>
      <c r="J990" s="78">
        <v>22205</v>
      </c>
      <c r="K990" s="78" t="s">
        <v>173</v>
      </c>
      <c r="L990" s="78">
        <v>1904.288</v>
      </c>
    </row>
    <row r="991" spans="1:12">
      <c r="A991" s="77">
        <v>50114</v>
      </c>
      <c r="B991" s="77">
        <v>22215</v>
      </c>
      <c r="C991" s="77" t="s">
        <v>180</v>
      </c>
      <c r="D991" s="77">
        <v>1.75</v>
      </c>
      <c r="E991" s="77">
        <v>2</v>
      </c>
      <c r="F991" s="79">
        <f t="shared" si="15"/>
        <v>3785.7640000000001</v>
      </c>
      <c r="J991" s="78">
        <v>22212</v>
      </c>
      <c r="K991" s="78" t="s">
        <v>172</v>
      </c>
      <c r="L991" s="78">
        <v>1612.692</v>
      </c>
    </row>
    <row r="992" spans="1:12">
      <c r="A992" s="77">
        <v>192843</v>
      </c>
      <c r="B992" s="77">
        <v>22222</v>
      </c>
      <c r="C992" s="77" t="s">
        <v>180</v>
      </c>
      <c r="D992" s="77">
        <v>2</v>
      </c>
      <c r="E992" s="77">
        <v>1</v>
      </c>
      <c r="F992" s="79">
        <f t="shared" si="15"/>
        <v>1904.288</v>
      </c>
      <c r="J992" s="78">
        <v>22214</v>
      </c>
      <c r="K992" s="78" t="s">
        <v>171</v>
      </c>
      <c r="L992" s="78">
        <v>2130.886</v>
      </c>
    </row>
    <row r="993" spans="1:12">
      <c r="A993" s="77">
        <v>179020</v>
      </c>
      <c r="B993" s="77">
        <v>22225</v>
      </c>
      <c r="C993" s="77" t="s">
        <v>180</v>
      </c>
      <c r="D993" s="77">
        <v>1.5</v>
      </c>
      <c r="E993" s="77">
        <v>2</v>
      </c>
      <c r="F993" s="79">
        <f t="shared" si="15"/>
        <v>1925.059</v>
      </c>
      <c r="J993" s="78">
        <v>22215</v>
      </c>
      <c r="K993" s="78" t="s">
        <v>170</v>
      </c>
      <c r="L993" s="78">
        <v>3785.7640000000001</v>
      </c>
    </row>
    <row r="994" spans="1:12">
      <c r="A994" s="77">
        <v>49797</v>
      </c>
      <c r="B994" s="77">
        <v>22226</v>
      </c>
      <c r="C994" s="77" t="s">
        <v>180</v>
      </c>
      <c r="D994" s="77">
        <v>2</v>
      </c>
      <c r="E994" s="77">
        <v>2</v>
      </c>
      <c r="F994" s="79">
        <f t="shared" si="15"/>
        <v>3785.7640000000001</v>
      </c>
      <c r="J994" s="78">
        <v>22222</v>
      </c>
      <c r="K994" s="78" t="s">
        <v>173</v>
      </c>
      <c r="L994" s="78">
        <v>1904.288</v>
      </c>
    </row>
    <row r="995" spans="1:12">
      <c r="A995" s="77">
        <v>156215</v>
      </c>
      <c r="B995" s="77">
        <v>22228</v>
      </c>
      <c r="C995" s="77" t="s">
        <v>180</v>
      </c>
      <c r="D995" s="77">
        <v>1.5</v>
      </c>
      <c r="E995" s="77">
        <v>1</v>
      </c>
      <c r="F995" s="79">
        <f t="shared" si="15"/>
        <v>1612.692</v>
      </c>
      <c r="J995" s="78">
        <v>22225</v>
      </c>
      <c r="K995" s="78" t="s">
        <v>172</v>
      </c>
      <c r="L995" s="78">
        <v>1925.059</v>
      </c>
    </row>
    <row r="996" spans="1:12">
      <c r="A996" s="77">
        <v>91686</v>
      </c>
      <c r="B996" s="77">
        <v>22232</v>
      </c>
      <c r="C996" s="77" t="s">
        <v>180</v>
      </c>
      <c r="D996" s="77">
        <v>2.5</v>
      </c>
      <c r="E996" s="77">
        <v>2</v>
      </c>
      <c r="F996" s="79">
        <f t="shared" si="15"/>
        <v>1904.288</v>
      </c>
      <c r="J996" s="78">
        <v>22226</v>
      </c>
      <c r="K996" s="78" t="s">
        <v>170</v>
      </c>
      <c r="L996" s="78">
        <v>3785.7640000000001</v>
      </c>
    </row>
    <row r="997" spans="1:12">
      <c r="A997" s="77">
        <v>96480</v>
      </c>
      <c r="B997" s="77">
        <v>22233</v>
      </c>
      <c r="C997" s="77" t="s">
        <v>180</v>
      </c>
      <c r="D997" s="77">
        <v>2.5</v>
      </c>
      <c r="E997" s="77">
        <v>1</v>
      </c>
      <c r="F997" s="79">
        <f t="shared" si="15"/>
        <v>1925.059</v>
      </c>
      <c r="J997" s="78">
        <v>22228</v>
      </c>
      <c r="K997" s="78" t="s">
        <v>172</v>
      </c>
      <c r="L997" s="78">
        <v>1612.692</v>
      </c>
    </row>
    <row r="998" spans="1:12">
      <c r="A998" s="77">
        <v>167392</v>
      </c>
      <c r="B998" s="77">
        <v>22240</v>
      </c>
      <c r="C998" s="77" t="s">
        <v>180</v>
      </c>
      <c r="D998" s="77">
        <v>2.25</v>
      </c>
      <c r="E998" s="77">
        <v>2</v>
      </c>
      <c r="F998" s="79">
        <f t="shared" si="15"/>
        <v>3785.7640000000001</v>
      </c>
      <c r="J998" s="78">
        <v>22232</v>
      </c>
      <c r="K998" s="78" t="s">
        <v>173</v>
      </c>
      <c r="L998" s="78">
        <v>1904.288</v>
      </c>
    </row>
    <row r="999" spans="1:12">
      <c r="A999" s="77">
        <v>31445</v>
      </c>
      <c r="B999" s="77">
        <v>22245</v>
      </c>
      <c r="C999" s="77" t="s">
        <v>180</v>
      </c>
      <c r="D999" s="77">
        <v>2.5</v>
      </c>
      <c r="E999" s="77">
        <v>1</v>
      </c>
      <c r="F999" s="79">
        <f t="shared" si="15"/>
        <v>12271.31</v>
      </c>
      <c r="J999" s="78">
        <v>22233</v>
      </c>
      <c r="K999" s="78" t="s">
        <v>172</v>
      </c>
      <c r="L999" s="78">
        <v>1925.059</v>
      </c>
    </row>
    <row r="1000" spans="1:12">
      <c r="A1000" s="77">
        <v>200953</v>
      </c>
      <c r="B1000" s="77">
        <v>22246</v>
      </c>
      <c r="C1000" s="77" t="s">
        <v>180</v>
      </c>
      <c r="D1000" s="77">
        <v>4.3</v>
      </c>
      <c r="E1000" s="77">
        <v>2</v>
      </c>
      <c r="F1000" s="79">
        <f t="shared" si="15"/>
        <v>1925.059</v>
      </c>
      <c r="J1000" s="78">
        <v>22240</v>
      </c>
      <c r="K1000" s="78" t="s">
        <v>170</v>
      </c>
      <c r="L1000" s="78">
        <v>3785.7640000000001</v>
      </c>
    </row>
    <row r="1001" spans="1:12">
      <c r="A1001" s="77">
        <v>241477</v>
      </c>
      <c r="B1001" s="77">
        <v>22250</v>
      </c>
      <c r="C1001" s="77" t="s">
        <v>180</v>
      </c>
      <c r="D1001" s="77">
        <v>2</v>
      </c>
      <c r="E1001" s="77">
        <v>1</v>
      </c>
      <c r="F1001" s="79">
        <f t="shared" si="15"/>
        <v>1904.288</v>
      </c>
      <c r="J1001" s="78">
        <v>22245</v>
      </c>
      <c r="K1001" s="78" t="s">
        <v>173</v>
      </c>
      <c r="L1001" s="78">
        <v>12271.31</v>
      </c>
    </row>
    <row r="1002" spans="1:12">
      <c r="A1002" s="77">
        <v>784537</v>
      </c>
      <c r="B1002" s="77">
        <v>22273</v>
      </c>
      <c r="C1002" s="77" t="s">
        <v>180</v>
      </c>
      <c r="D1002" s="77">
        <v>2</v>
      </c>
      <c r="E1002" s="77">
        <v>1</v>
      </c>
      <c r="F1002" s="79">
        <f t="shared" si="15"/>
        <v>1904.288</v>
      </c>
      <c r="J1002" s="78">
        <v>22246</v>
      </c>
      <c r="K1002" s="78" t="s">
        <v>172</v>
      </c>
      <c r="L1002" s="78">
        <v>1925.059</v>
      </c>
    </row>
    <row r="1003" spans="1:12">
      <c r="A1003" s="77">
        <v>241895</v>
      </c>
      <c r="B1003" s="77">
        <v>22280</v>
      </c>
      <c r="C1003" s="77" t="s">
        <v>180</v>
      </c>
      <c r="D1003" s="77">
        <v>1.75</v>
      </c>
      <c r="E1003" s="77">
        <v>1</v>
      </c>
      <c r="F1003" s="79">
        <f t="shared" si="15"/>
        <v>12271.31</v>
      </c>
      <c r="J1003" s="78">
        <v>22250</v>
      </c>
      <c r="K1003" s="78" t="s">
        <v>173</v>
      </c>
      <c r="L1003" s="78">
        <v>1904.288</v>
      </c>
    </row>
    <row r="1004" spans="1:12">
      <c r="A1004" s="77">
        <v>260520</v>
      </c>
      <c r="B1004" s="77">
        <v>22284</v>
      </c>
      <c r="C1004" s="77" t="s">
        <v>180</v>
      </c>
      <c r="D1004" s="77">
        <v>1.75</v>
      </c>
      <c r="E1004" s="77">
        <v>2</v>
      </c>
      <c r="F1004" s="79">
        <f t="shared" si="15"/>
        <v>1144.6790000000001</v>
      </c>
      <c r="J1004" s="78">
        <v>22273</v>
      </c>
      <c r="K1004" s="78" t="s">
        <v>173</v>
      </c>
      <c r="L1004" s="78">
        <v>1904.288</v>
      </c>
    </row>
    <row r="1005" spans="1:12">
      <c r="A1005" s="77">
        <v>234827</v>
      </c>
      <c r="B1005" s="77">
        <v>22288</v>
      </c>
      <c r="C1005" s="77" t="s">
        <v>180</v>
      </c>
      <c r="D1005" s="77">
        <v>2.7</v>
      </c>
      <c r="E1005" s="77">
        <v>1</v>
      </c>
      <c r="F1005" s="79">
        <f t="shared" si="15"/>
        <v>2079.9929999999999</v>
      </c>
      <c r="J1005" s="78">
        <v>22280</v>
      </c>
      <c r="K1005" s="78" t="s">
        <v>173</v>
      </c>
      <c r="L1005" s="78">
        <v>12271.31</v>
      </c>
    </row>
    <row r="1006" spans="1:12">
      <c r="A1006" s="77">
        <v>158299</v>
      </c>
      <c r="B1006" s="77">
        <v>22289</v>
      </c>
      <c r="C1006" s="77" t="s">
        <v>180</v>
      </c>
      <c r="D1006" s="77">
        <v>5</v>
      </c>
      <c r="E1006" s="77">
        <v>1</v>
      </c>
      <c r="F1006" s="79">
        <f t="shared" si="15"/>
        <v>4360.1880000000001</v>
      </c>
      <c r="J1006" s="78">
        <v>22284</v>
      </c>
      <c r="K1006" s="78" t="s">
        <v>171</v>
      </c>
      <c r="L1006" s="78">
        <v>1144.6790000000001</v>
      </c>
    </row>
    <row r="1007" spans="1:12">
      <c r="A1007" s="77">
        <v>193268</v>
      </c>
      <c r="B1007" s="77">
        <v>22291</v>
      </c>
      <c r="C1007" s="77" t="s">
        <v>180</v>
      </c>
      <c r="D1007" s="77">
        <v>2.5</v>
      </c>
      <c r="E1007" s="77">
        <v>2</v>
      </c>
      <c r="F1007" s="79">
        <f t="shared" si="15"/>
        <v>1192.4649999999999</v>
      </c>
      <c r="J1007" s="78">
        <v>22288</v>
      </c>
      <c r="K1007" s="78" t="s">
        <v>173</v>
      </c>
      <c r="L1007" s="78">
        <v>2079.9929999999999</v>
      </c>
    </row>
    <row r="1008" spans="1:12">
      <c r="A1008" s="77">
        <v>90479</v>
      </c>
      <c r="B1008" s="77">
        <v>22293</v>
      </c>
      <c r="C1008" s="77" t="s">
        <v>180</v>
      </c>
      <c r="D1008" s="77">
        <v>1.5</v>
      </c>
      <c r="E1008" s="77">
        <v>2</v>
      </c>
      <c r="F1008" s="79">
        <f t="shared" si="15"/>
        <v>1925.059</v>
      </c>
      <c r="J1008" s="78">
        <v>22289</v>
      </c>
      <c r="K1008" s="78" t="s">
        <v>173</v>
      </c>
      <c r="L1008" s="78">
        <v>4360.1880000000001</v>
      </c>
    </row>
    <row r="1009" spans="1:12">
      <c r="A1009" s="77">
        <v>194407</v>
      </c>
      <c r="B1009" s="77">
        <v>22295</v>
      </c>
      <c r="C1009" s="77" t="s">
        <v>180</v>
      </c>
      <c r="D1009" s="77">
        <v>1.25</v>
      </c>
      <c r="E1009" s="77">
        <v>1</v>
      </c>
      <c r="F1009" s="79">
        <f t="shared" si="15"/>
        <v>1925.059</v>
      </c>
      <c r="J1009" s="78">
        <v>22291</v>
      </c>
      <c r="K1009" s="78" t="s">
        <v>170</v>
      </c>
      <c r="L1009" s="78">
        <v>1192.4649999999999</v>
      </c>
    </row>
    <row r="1010" spans="1:12">
      <c r="A1010" s="77">
        <v>195921</v>
      </c>
      <c r="B1010" s="77">
        <v>22302</v>
      </c>
      <c r="C1010" s="77" t="s">
        <v>180</v>
      </c>
      <c r="D1010" s="77">
        <v>2.5</v>
      </c>
      <c r="E1010" s="77">
        <v>2</v>
      </c>
      <c r="F1010" s="79">
        <f t="shared" si="15"/>
        <v>1612.692</v>
      </c>
      <c r="J1010" s="78">
        <v>22293</v>
      </c>
      <c r="K1010" s="78" t="s">
        <v>172</v>
      </c>
      <c r="L1010" s="78">
        <v>1925.059</v>
      </c>
    </row>
    <row r="1011" spans="1:12">
      <c r="A1011" s="77">
        <v>179384</v>
      </c>
      <c r="B1011" s="77">
        <v>22306</v>
      </c>
      <c r="C1011" s="77" t="s">
        <v>180</v>
      </c>
      <c r="D1011" s="77">
        <v>2.75</v>
      </c>
      <c r="E1011" s="77">
        <v>2</v>
      </c>
      <c r="F1011" s="79">
        <f t="shared" si="15"/>
        <v>2130.886</v>
      </c>
      <c r="J1011" s="78">
        <v>22295</v>
      </c>
      <c r="K1011" s="78" t="s">
        <v>172</v>
      </c>
      <c r="L1011" s="78">
        <v>1925.059</v>
      </c>
    </row>
    <row r="1012" spans="1:12">
      <c r="A1012" s="77">
        <v>178873</v>
      </c>
      <c r="B1012" s="77">
        <v>22312</v>
      </c>
      <c r="C1012" s="77" t="s">
        <v>180</v>
      </c>
      <c r="D1012" s="77">
        <v>2.5</v>
      </c>
      <c r="E1012" s="77">
        <v>3</v>
      </c>
      <c r="F1012" s="79">
        <f t="shared" si="15"/>
        <v>3785.7640000000001</v>
      </c>
      <c r="J1012" s="78">
        <v>22302</v>
      </c>
      <c r="K1012" s="78" t="s">
        <v>172</v>
      </c>
      <c r="L1012" s="78">
        <v>1612.692</v>
      </c>
    </row>
    <row r="1013" spans="1:12">
      <c r="A1013" s="77">
        <v>77196</v>
      </c>
      <c r="B1013" s="77">
        <v>22319</v>
      </c>
      <c r="C1013" s="77" t="s">
        <v>180</v>
      </c>
      <c r="D1013" s="77">
        <v>2.5</v>
      </c>
      <c r="E1013" s="77">
        <v>2</v>
      </c>
      <c r="F1013" s="79">
        <f t="shared" si="15"/>
        <v>3785.7640000000001</v>
      </c>
      <c r="J1013" s="78">
        <v>22306</v>
      </c>
      <c r="K1013" s="78" t="s">
        <v>171</v>
      </c>
      <c r="L1013" s="78">
        <v>2130.886</v>
      </c>
    </row>
    <row r="1014" spans="1:12">
      <c r="A1014" s="77">
        <v>171642</v>
      </c>
      <c r="B1014" s="77">
        <v>22322</v>
      </c>
      <c r="C1014" s="77" t="s">
        <v>180</v>
      </c>
      <c r="D1014" s="77">
        <v>2.5</v>
      </c>
      <c r="E1014" s="77">
        <v>2</v>
      </c>
      <c r="F1014" s="79">
        <f t="shared" si="15"/>
        <v>1612.692</v>
      </c>
      <c r="J1014" s="78">
        <v>22312</v>
      </c>
      <c r="K1014" s="78" t="s">
        <v>170</v>
      </c>
      <c r="L1014" s="78">
        <v>3785.7640000000001</v>
      </c>
    </row>
    <row r="1015" spans="1:12">
      <c r="A1015" s="77">
        <v>128292</v>
      </c>
      <c r="B1015" s="77">
        <v>22333</v>
      </c>
      <c r="C1015" s="77" t="s">
        <v>180</v>
      </c>
      <c r="D1015" s="77">
        <v>3.25</v>
      </c>
      <c r="E1015" s="77">
        <v>2</v>
      </c>
      <c r="F1015" s="79">
        <f t="shared" si="15"/>
        <v>1144.6790000000001</v>
      </c>
      <c r="J1015" s="78">
        <v>22319</v>
      </c>
      <c r="K1015" s="78" t="s">
        <v>170</v>
      </c>
      <c r="L1015" s="78">
        <v>3785.7640000000001</v>
      </c>
    </row>
    <row r="1016" spans="1:12">
      <c r="A1016" s="77">
        <v>142336</v>
      </c>
      <c r="B1016" s="77">
        <v>22352</v>
      </c>
      <c r="C1016" s="77" t="s">
        <v>180</v>
      </c>
      <c r="D1016" s="77">
        <v>0</v>
      </c>
      <c r="E1016" s="77">
        <v>0</v>
      </c>
      <c r="F1016" s="79">
        <f t="shared" si="15"/>
        <v>1192.4649999999999</v>
      </c>
      <c r="J1016" s="78">
        <v>22322</v>
      </c>
      <c r="K1016" s="78" t="s">
        <v>172</v>
      </c>
      <c r="L1016" s="78">
        <v>1612.692</v>
      </c>
    </row>
    <row r="1017" spans="1:12">
      <c r="A1017" s="77">
        <v>68097</v>
      </c>
      <c r="B1017" s="77">
        <v>22369</v>
      </c>
      <c r="C1017" s="77" t="s">
        <v>180</v>
      </c>
      <c r="D1017" s="77">
        <v>2</v>
      </c>
      <c r="E1017" s="77">
        <v>2</v>
      </c>
      <c r="F1017" s="79">
        <f t="shared" si="15"/>
        <v>2130.886</v>
      </c>
      <c r="J1017" s="78">
        <v>22333</v>
      </c>
      <c r="K1017" s="78" t="s">
        <v>171</v>
      </c>
      <c r="L1017" s="78">
        <v>1144.6790000000001</v>
      </c>
    </row>
    <row r="1018" spans="1:12">
      <c r="A1018" s="77">
        <v>135622</v>
      </c>
      <c r="B1018" s="77">
        <v>22375</v>
      </c>
      <c r="C1018" s="77" t="s">
        <v>180</v>
      </c>
      <c r="D1018" s="77">
        <v>3</v>
      </c>
      <c r="E1018" s="77">
        <v>2</v>
      </c>
      <c r="F1018" s="79">
        <f t="shared" si="15"/>
        <v>1612.692</v>
      </c>
      <c r="J1018" s="78">
        <v>22352</v>
      </c>
      <c r="K1018" s="78" t="s">
        <v>170</v>
      </c>
      <c r="L1018" s="78">
        <v>1192.4649999999999</v>
      </c>
    </row>
    <row r="1019" spans="1:12">
      <c r="A1019" s="77">
        <v>95399</v>
      </c>
      <c r="B1019" s="77">
        <v>22398</v>
      </c>
      <c r="C1019" s="77" t="s">
        <v>180</v>
      </c>
      <c r="D1019" s="77">
        <v>1</v>
      </c>
      <c r="E1019" s="77">
        <v>2</v>
      </c>
      <c r="F1019" s="79">
        <f t="shared" si="15"/>
        <v>1144.6790000000001</v>
      </c>
      <c r="J1019" s="78">
        <v>22369</v>
      </c>
      <c r="K1019" s="78" t="s">
        <v>171</v>
      </c>
      <c r="L1019" s="78">
        <v>2130.886</v>
      </c>
    </row>
    <row r="1020" spans="1:12">
      <c r="A1020" s="77">
        <v>111247</v>
      </c>
      <c r="B1020" s="77">
        <v>22404</v>
      </c>
      <c r="C1020" s="77" t="s">
        <v>180</v>
      </c>
      <c r="D1020" s="77">
        <v>4.2</v>
      </c>
      <c r="E1020" s="77">
        <v>2</v>
      </c>
      <c r="F1020" s="79">
        <f t="shared" si="15"/>
        <v>2079.9929999999999</v>
      </c>
      <c r="J1020" s="78">
        <v>22375</v>
      </c>
      <c r="K1020" s="78" t="s">
        <v>172</v>
      </c>
      <c r="L1020" s="78">
        <v>1612.692</v>
      </c>
    </row>
    <row r="1021" spans="1:12">
      <c r="A1021" s="77">
        <v>57427</v>
      </c>
      <c r="B1021" s="77">
        <v>22411</v>
      </c>
      <c r="C1021" s="77" t="s">
        <v>180</v>
      </c>
      <c r="D1021" s="77">
        <v>3</v>
      </c>
      <c r="E1021" s="77">
        <v>1</v>
      </c>
      <c r="F1021" s="79">
        <f t="shared" si="15"/>
        <v>2079.9929999999999</v>
      </c>
      <c r="J1021" s="78">
        <v>22398</v>
      </c>
      <c r="K1021" s="78" t="s">
        <v>171</v>
      </c>
      <c r="L1021" s="78">
        <v>1144.6790000000001</v>
      </c>
    </row>
    <row r="1022" spans="1:12">
      <c r="A1022" s="77">
        <v>691695</v>
      </c>
      <c r="B1022" s="77">
        <v>22413</v>
      </c>
      <c r="C1022" s="77" t="s">
        <v>180</v>
      </c>
      <c r="D1022" s="77">
        <v>2</v>
      </c>
      <c r="E1022" s="77">
        <v>2</v>
      </c>
      <c r="F1022" s="79">
        <f t="shared" si="15"/>
        <v>3785.7640000000001</v>
      </c>
      <c r="J1022" s="78">
        <v>22404</v>
      </c>
      <c r="K1022" s="78" t="s">
        <v>173</v>
      </c>
      <c r="L1022" s="78">
        <v>2079.9929999999999</v>
      </c>
    </row>
    <row r="1023" spans="1:12">
      <c r="A1023" s="77">
        <v>107056</v>
      </c>
      <c r="B1023" s="77">
        <v>22425</v>
      </c>
      <c r="C1023" s="77" t="s">
        <v>180</v>
      </c>
      <c r="D1023" s="77">
        <v>4</v>
      </c>
      <c r="E1023" s="77">
        <v>2</v>
      </c>
      <c r="F1023" s="79">
        <f t="shared" si="15"/>
        <v>3785.7640000000001</v>
      </c>
      <c r="J1023" s="78">
        <v>22411</v>
      </c>
      <c r="K1023" s="78" t="s">
        <v>173</v>
      </c>
      <c r="L1023" s="78">
        <v>2079.9929999999999</v>
      </c>
    </row>
    <row r="1024" spans="1:12">
      <c r="A1024" s="77">
        <v>99464</v>
      </c>
      <c r="B1024" s="77">
        <v>22432</v>
      </c>
      <c r="C1024" s="77" t="s">
        <v>180</v>
      </c>
      <c r="D1024" s="77">
        <v>1.75</v>
      </c>
      <c r="E1024" s="77">
        <v>2</v>
      </c>
      <c r="F1024" s="79">
        <f t="shared" si="15"/>
        <v>1925.059</v>
      </c>
      <c r="J1024" s="78">
        <v>22413</v>
      </c>
      <c r="K1024" s="78" t="s">
        <v>170</v>
      </c>
      <c r="L1024" s="78">
        <v>3785.7640000000001</v>
      </c>
    </row>
    <row r="1025" spans="1:12">
      <c r="A1025" s="77">
        <v>79122</v>
      </c>
      <c r="B1025" s="77">
        <v>22439</v>
      </c>
      <c r="C1025" s="77" t="s">
        <v>180</v>
      </c>
      <c r="D1025" s="77">
        <v>1.25</v>
      </c>
      <c r="E1025" s="77">
        <v>1</v>
      </c>
      <c r="F1025" s="79">
        <f t="shared" si="15"/>
        <v>2079.9929999999999</v>
      </c>
      <c r="J1025" s="78">
        <v>22425</v>
      </c>
      <c r="K1025" s="78" t="s">
        <v>170</v>
      </c>
      <c r="L1025" s="78">
        <v>3785.7640000000001</v>
      </c>
    </row>
    <row r="1026" spans="1:12">
      <c r="A1026" s="77">
        <v>36761</v>
      </c>
      <c r="B1026" s="77">
        <v>22445</v>
      </c>
      <c r="C1026" s="77" t="s">
        <v>180</v>
      </c>
      <c r="D1026" s="77">
        <v>2.5</v>
      </c>
      <c r="E1026" s="77">
        <v>2</v>
      </c>
      <c r="F1026" s="79">
        <f t="shared" si="15"/>
        <v>12271.31</v>
      </c>
      <c r="J1026" s="78">
        <v>22432</v>
      </c>
      <c r="K1026" s="78" t="s">
        <v>172</v>
      </c>
      <c r="L1026" s="78">
        <v>1925.059</v>
      </c>
    </row>
    <row r="1027" spans="1:12">
      <c r="A1027" s="77">
        <v>119349</v>
      </c>
      <c r="B1027" s="77">
        <v>22458</v>
      </c>
      <c r="C1027" s="77" t="s">
        <v>180</v>
      </c>
      <c r="D1027" s="77">
        <v>2</v>
      </c>
      <c r="E1027" s="77">
        <v>2</v>
      </c>
      <c r="F1027" s="79">
        <f t="shared" ref="F1027:F1090" si="16">VLOOKUP(B1027,$J$2:$L$1405,3,FALSE)</f>
        <v>3785.7640000000001</v>
      </c>
      <c r="J1027" s="78">
        <v>22439</v>
      </c>
      <c r="K1027" s="78" t="s">
        <v>173</v>
      </c>
      <c r="L1027" s="78">
        <v>2079.9929999999999</v>
      </c>
    </row>
    <row r="1028" spans="1:12">
      <c r="A1028" s="77">
        <v>33543</v>
      </c>
      <c r="B1028" s="77">
        <v>22460</v>
      </c>
      <c r="C1028" s="77" t="s">
        <v>180</v>
      </c>
      <c r="D1028" s="77">
        <v>2</v>
      </c>
      <c r="E1028" s="77">
        <v>2</v>
      </c>
      <c r="F1028" s="79">
        <f t="shared" si="16"/>
        <v>3785.7640000000001</v>
      </c>
      <c r="J1028" s="78">
        <v>22445</v>
      </c>
      <c r="K1028" s="78" t="s">
        <v>173</v>
      </c>
      <c r="L1028" s="78">
        <v>12271.31</v>
      </c>
    </row>
    <row r="1029" spans="1:12">
      <c r="A1029" s="77">
        <v>73052</v>
      </c>
      <c r="B1029" s="77">
        <v>22474</v>
      </c>
      <c r="C1029" s="77" t="s">
        <v>180</v>
      </c>
      <c r="D1029" s="77">
        <v>2</v>
      </c>
      <c r="E1029" s="77">
        <v>2</v>
      </c>
      <c r="F1029" s="79">
        <f t="shared" si="16"/>
        <v>1904.288</v>
      </c>
      <c r="J1029" s="78">
        <v>22458</v>
      </c>
      <c r="K1029" s="78" t="s">
        <v>170</v>
      </c>
      <c r="L1029" s="78">
        <v>3785.7640000000001</v>
      </c>
    </row>
    <row r="1030" spans="1:12">
      <c r="A1030" s="77">
        <v>220590</v>
      </c>
      <c r="B1030" s="77">
        <v>22475</v>
      </c>
      <c r="C1030" s="77" t="s">
        <v>180</v>
      </c>
      <c r="D1030" s="77">
        <v>2.5</v>
      </c>
      <c r="E1030" s="77">
        <v>2</v>
      </c>
      <c r="F1030" s="79">
        <f t="shared" si="16"/>
        <v>2130.886</v>
      </c>
      <c r="J1030" s="78">
        <v>22460</v>
      </c>
      <c r="K1030" s="78" t="s">
        <v>170</v>
      </c>
      <c r="L1030" s="78">
        <v>3785.7640000000001</v>
      </c>
    </row>
    <row r="1031" spans="1:12">
      <c r="A1031" s="77">
        <v>232503</v>
      </c>
      <c r="B1031" s="77">
        <v>22479</v>
      </c>
      <c r="C1031" s="77" t="s">
        <v>180</v>
      </c>
      <c r="D1031" s="77">
        <v>3.75</v>
      </c>
      <c r="E1031" s="77">
        <v>2</v>
      </c>
      <c r="F1031" s="79">
        <f t="shared" si="16"/>
        <v>1904.288</v>
      </c>
      <c r="J1031" s="78">
        <v>22474</v>
      </c>
      <c r="K1031" s="78" t="s">
        <v>173</v>
      </c>
      <c r="L1031" s="78">
        <v>1904.288</v>
      </c>
    </row>
    <row r="1032" spans="1:12">
      <c r="A1032" s="77">
        <v>76847</v>
      </c>
      <c r="B1032" s="77">
        <v>22493</v>
      </c>
      <c r="C1032" s="77" t="s">
        <v>180</v>
      </c>
      <c r="D1032" s="77">
        <v>2</v>
      </c>
      <c r="E1032" s="77">
        <v>3</v>
      </c>
      <c r="F1032" s="79">
        <f t="shared" si="16"/>
        <v>1925.059</v>
      </c>
      <c r="J1032" s="78">
        <v>22475</v>
      </c>
      <c r="K1032" s="78" t="s">
        <v>171</v>
      </c>
      <c r="L1032" s="78">
        <v>2130.886</v>
      </c>
    </row>
    <row r="1033" spans="1:12">
      <c r="A1033" s="77">
        <v>55001</v>
      </c>
      <c r="B1033" s="77">
        <v>22509</v>
      </c>
      <c r="C1033" s="77" t="s">
        <v>180</v>
      </c>
      <c r="D1033" s="77">
        <v>2.5</v>
      </c>
      <c r="E1033" s="77">
        <v>1</v>
      </c>
      <c r="F1033" s="79">
        <f t="shared" si="16"/>
        <v>2079.9929999999999</v>
      </c>
      <c r="J1033" s="78">
        <v>22479</v>
      </c>
      <c r="K1033" s="78" t="s">
        <v>173</v>
      </c>
      <c r="L1033" s="78">
        <v>1904.288</v>
      </c>
    </row>
    <row r="1034" spans="1:12">
      <c r="A1034" s="77">
        <v>675687</v>
      </c>
      <c r="B1034" s="77">
        <v>22514</v>
      </c>
      <c r="C1034" s="77" t="s">
        <v>180</v>
      </c>
      <c r="D1034" s="77">
        <v>2</v>
      </c>
      <c r="E1034" s="77">
        <v>2</v>
      </c>
      <c r="F1034" s="79">
        <f t="shared" si="16"/>
        <v>3785.7640000000001</v>
      </c>
      <c r="J1034" s="78">
        <v>22493</v>
      </c>
      <c r="K1034" s="78" t="s">
        <v>172</v>
      </c>
      <c r="L1034" s="78">
        <v>1925.059</v>
      </c>
    </row>
    <row r="1035" spans="1:12">
      <c r="A1035" s="77">
        <v>53180</v>
      </c>
      <c r="B1035" s="77">
        <v>22515</v>
      </c>
      <c r="C1035" s="77" t="s">
        <v>180</v>
      </c>
      <c r="D1035" s="77">
        <v>2.25</v>
      </c>
      <c r="E1035" s="77">
        <v>1</v>
      </c>
      <c r="F1035" s="79">
        <f t="shared" si="16"/>
        <v>2079.9929999999999</v>
      </c>
      <c r="J1035" s="78">
        <v>22509</v>
      </c>
      <c r="K1035" s="78" t="s">
        <v>173</v>
      </c>
      <c r="L1035" s="78">
        <v>2079.9929999999999</v>
      </c>
    </row>
    <row r="1036" spans="1:12">
      <c r="A1036" s="77">
        <v>35493</v>
      </c>
      <c r="B1036" s="77">
        <v>22519</v>
      </c>
      <c r="C1036" s="77" t="s">
        <v>180</v>
      </c>
      <c r="D1036" s="77">
        <v>2</v>
      </c>
      <c r="E1036" s="77">
        <v>1</v>
      </c>
      <c r="F1036" s="79">
        <f t="shared" si="16"/>
        <v>2130.886</v>
      </c>
      <c r="J1036" s="78">
        <v>22514</v>
      </c>
      <c r="K1036" s="78" t="s">
        <v>170</v>
      </c>
      <c r="L1036" s="78">
        <v>3785.7640000000001</v>
      </c>
    </row>
    <row r="1037" spans="1:12">
      <c r="A1037" s="77">
        <v>210564</v>
      </c>
      <c r="B1037" s="77">
        <v>22521</v>
      </c>
      <c r="C1037" s="77" t="s">
        <v>180</v>
      </c>
      <c r="D1037" s="77">
        <v>2.25</v>
      </c>
      <c r="E1037" s="77">
        <v>2</v>
      </c>
      <c r="F1037" s="79">
        <f t="shared" si="16"/>
        <v>1612.692</v>
      </c>
      <c r="J1037" s="78">
        <v>22515</v>
      </c>
      <c r="K1037" s="78" t="s">
        <v>173</v>
      </c>
      <c r="L1037" s="78">
        <v>2079.9929999999999</v>
      </c>
    </row>
    <row r="1038" spans="1:12">
      <c r="A1038" s="77">
        <v>170760</v>
      </c>
      <c r="B1038" s="77">
        <v>22530</v>
      </c>
      <c r="C1038" s="77" t="s">
        <v>180</v>
      </c>
      <c r="D1038" s="77">
        <v>0.5</v>
      </c>
      <c r="E1038" s="77">
        <v>2</v>
      </c>
      <c r="F1038" s="79">
        <f t="shared" si="16"/>
        <v>1612.692</v>
      </c>
      <c r="J1038" s="78">
        <v>22519</v>
      </c>
      <c r="K1038" s="78" t="s">
        <v>171</v>
      </c>
      <c r="L1038" s="78">
        <v>2130.886</v>
      </c>
    </row>
    <row r="1039" spans="1:12">
      <c r="A1039" s="77">
        <v>87797</v>
      </c>
      <c r="B1039" s="77">
        <v>22533</v>
      </c>
      <c r="C1039" s="77" t="s">
        <v>180</v>
      </c>
      <c r="D1039" s="77">
        <v>2.5</v>
      </c>
      <c r="E1039" s="77">
        <v>1</v>
      </c>
      <c r="F1039" s="79">
        <f t="shared" si="16"/>
        <v>1144.6790000000001</v>
      </c>
      <c r="J1039" s="78">
        <v>22521</v>
      </c>
      <c r="K1039" s="78" t="s">
        <v>172</v>
      </c>
      <c r="L1039" s="78">
        <v>1612.692</v>
      </c>
    </row>
    <row r="1040" spans="1:12">
      <c r="A1040" s="77">
        <v>53422</v>
      </c>
      <c r="B1040" s="77">
        <v>22546</v>
      </c>
      <c r="C1040" s="77" t="s">
        <v>180</v>
      </c>
      <c r="D1040" s="77">
        <v>2.25</v>
      </c>
      <c r="E1040" s="77">
        <v>1</v>
      </c>
      <c r="F1040" s="79">
        <f t="shared" si="16"/>
        <v>2079.9929999999999</v>
      </c>
      <c r="J1040" s="78">
        <v>22530</v>
      </c>
      <c r="K1040" s="78" t="s">
        <v>172</v>
      </c>
      <c r="L1040" s="78">
        <v>1612.692</v>
      </c>
    </row>
    <row r="1041" spans="1:12">
      <c r="A1041" s="77">
        <v>101179</v>
      </c>
      <c r="B1041" s="77">
        <v>22557</v>
      </c>
      <c r="C1041" s="77" t="s">
        <v>180</v>
      </c>
      <c r="D1041" s="77">
        <v>3.2</v>
      </c>
      <c r="E1041" s="77">
        <v>1</v>
      </c>
      <c r="F1041" s="79">
        <f t="shared" si="16"/>
        <v>2079.9929999999999</v>
      </c>
      <c r="J1041" s="78">
        <v>22533</v>
      </c>
      <c r="K1041" s="78" t="s">
        <v>171</v>
      </c>
      <c r="L1041" s="78">
        <v>1144.6790000000001</v>
      </c>
    </row>
    <row r="1042" spans="1:12">
      <c r="A1042" s="77">
        <v>167578</v>
      </c>
      <c r="B1042" s="77">
        <v>22559</v>
      </c>
      <c r="C1042" s="77" t="s">
        <v>180</v>
      </c>
      <c r="D1042" s="77">
        <v>2.25</v>
      </c>
      <c r="E1042" s="77">
        <v>2</v>
      </c>
      <c r="F1042" s="79">
        <f t="shared" si="16"/>
        <v>1192.4649999999999</v>
      </c>
      <c r="J1042" s="78">
        <v>22546</v>
      </c>
      <c r="K1042" s="78" t="s">
        <v>173</v>
      </c>
      <c r="L1042" s="78">
        <v>2079.9929999999999</v>
      </c>
    </row>
    <row r="1043" spans="1:12">
      <c r="A1043" s="77">
        <v>151436</v>
      </c>
      <c r="B1043" s="77">
        <v>22566</v>
      </c>
      <c r="C1043" s="77" t="s">
        <v>180</v>
      </c>
      <c r="D1043" s="77">
        <v>1.25</v>
      </c>
      <c r="E1043" s="77">
        <v>1</v>
      </c>
      <c r="F1043" s="79">
        <f t="shared" si="16"/>
        <v>1144.6790000000001</v>
      </c>
      <c r="J1043" s="78">
        <v>22557</v>
      </c>
      <c r="K1043" s="78" t="s">
        <v>173</v>
      </c>
      <c r="L1043" s="78">
        <v>2079.9929999999999</v>
      </c>
    </row>
    <row r="1044" spans="1:12">
      <c r="A1044" s="77">
        <v>77784</v>
      </c>
      <c r="B1044" s="77">
        <v>22570</v>
      </c>
      <c r="C1044" s="77" t="s">
        <v>180</v>
      </c>
      <c r="D1044" s="77">
        <v>2.9</v>
      </c>
      <c r="E1044" s="77">
        <v>1</v>
      </c>
      <c r="F1044" s="79">
        <f t="shared" si="16"/>
        <v>1144.6790000000001</v>
      </c>
      <c r="J1044" s="78">
        <v>22559</v>
      </c>
      <c r="K1044" s="78" t="s">
        <v>170</v>
      </c>
      <c r="L1044" s="78">
        <v>1192.4649999999999</v>
      </c>
    </row>
    <row r="1045" spans="1:12">
      <c r="A1045" s="77">
        <v>97144</v>
      </c>
      <c r="B1045" s="77">
        <v>22571</v>
      </c>
      <c r="C1045" s="77" t="s">
        <v>180</v>
      </c>
      <c r="D1045" s="77">
        <v>2.5</v>
      </c>
      <c r="E1045" s="77">
        <v>2</v>
      </c>
      <c r="F1045" s="79">
        <f t="shared" si="16"/>
        <v>3785.7640000000001</v>
      </c>
      <c r="J1045" s="78">
        <v>22566</v>
      </c>
      <c r="K1045" s="78" t="s">
        <v>171</v>
      </c>
      <c r="L1045" s="78">
        <v>1144.6790000000001</v>
      </c>
    </row>
    <row r="1046" spans="1:12">
      <c r="A1046" s="77">
        <v>240012</v>
      </c>
      <c r="B1046" s="77">
        <v>22576</v>
      </c>
      <c r="C1046" s="77" t="s">
        <v>180</v>
      </c>
      <c r="D1046" s="77">
        <v>2.2000000000000002</v>
      </c>
      <c r="E1046" s="77">
        <v>2</v>
      </c>
      <c r="F1046" s="79">
        <f t="shared" si="16"/>
        <v>2079.9929999999999</v>
      </c>
      <c r="J1046" s="78">
        <v>22570</v>
      </c>
      <c r="K1046" s="78" t="s">
        <v>171</v>
      </c>
      <c r="L1046" s="78">
        <v>1144.6790000000001</v>
      </c>
    </row>
    <row r="1047" spans="1:12">
      <c r="A1047" s="77">
        <v>196600</v>
      </c>
      <c r="B1047" s="77">
        <v>22577</v>
      </c>
      <c r="C1047" s="77" t="s">
        <v>180</v>
      </c>
      <c r="D1047" s="77">
        <v>2.5</v>
      </c>
      <c r="E1047" s="77">
        <v>1</v>
      </c>
      <c r="F1047" s="79">
        <f t="shared" si="16"/>
        <v>1925.059</v>
      </c>
      <c r="J1047" s="78">
        <v>22571</v>
      </c>
      <c r="K1047" s="78" t="s">
        <v>170</v>
      </c>
      <c r="L1047" s="78">
        <v>3785.7640000000001</v>
      </c>
    </row>
    <row r="1048" spans="1:12">
      <c r="A1048" s="77">
        <v>241735</v>
      </c>
      <c r="B1048" s="77">
        <v>22580</v>
      </c>
      <c r="C1048" s="77" t="s">
        <v>180</v>
      </c>
      <c r="D1048" s="77">
        <v>2.25</v>
      </c>
      <c r="E1048" s="77">
        <v>2</v>
      </c>
      <c r="F1048" s="79">
        <f t="shared" si="16"/>
        <v>12271.31</v>
      </c>
      <c r="J1048" s="78">
        <v>22576</v>
      </c>
      <c r="K1048" s="78" t="s">
        <v>173</v>
      </c>
      <c r="L1048" s="78">
        <v>2079.9929999999999</v>
      </c>
    </row>
    <row r="1049" spans="1:12">
      <c r="A1049" s="77">
        <v>169304</v>
      </c>
      <c r="B1049" s="77">
        <v>22583</v>
      </c>
      <c r="C1049" s="77" t="s">
        <v>180</v>
      </c>
      <c r="D1049" s="77">
        <v>3</v>
      </c>
      <c r="E1049" s="77">
        <v>1</v>
      </c>
      <c r="F1049" s="79">
        <f t="shared" si="16"/>
        <v>2130.886</v>
      </c>
      <c r="J1049" s="78">
        <v>22577</v>
      </c>
      <c r="K1049" s="78" t="s">
        <v>172</v>
      </c>
      <c r="L1049" s="78">
        <v>1925.059</v>
      </c>
    </row>
    <row r="1050" spans="1:12">
      <c r="A1050" s="77">
        <v>172029</v>
      </c>
      <c r="B1050" s="77">
        <v>22590</v>
      </c>
      <c r="C1050" s="77" t="s">
        <v>180</v>
      </c>
      <c r="D1050" s="77">
        <v>2.5</v>
      </c>
      <c r="E1050" s="77">
        <v>2</v>
      </c>
      <c r="F1050" s="79">
        <f t="shared" si="16"/>
        <v>1192.4649999999999</v>
      </c>
      <c r="J1050" s="78">
        <v>22580</v>
      </c>
      <c r="K1050" s="78" t="s">
        <v>173</v>
      </c>
      <c r="L1050" s="78">
        <v>12271.31</v>
      </c>
    </row>
    <row r="1051" spans="1:12">
      <c r="A1051" s="77">
        <v>148757</v>
      </c>
      <c r="B1051" s="77">
        <v>22597</v>
      </c>
      <c r="C1051" s="77" t="s">
        <v>180</v>
      </c>
      <c r="D1051" s="77">
        <v>3.75</v>
      </c>
      <c r="E1051" s="77">
        <v>1</v>
      </c>
      <c r="F1051" s="79">
        <f t="shared" si="16"/>
        <v>8264.9449999999997</v>
      </c>
      <c r="J1051" s="78">
        <v>22583</v>
      </c>
      <c r="K1051" s="78" t="s">
        <v>171</v>
      </c>
      <c r="L1051" s="78">
        <v>2130.886</v>
      </c>
    </row>
    <row r="1052" spans="1:12">
      <c r="A1052" s="77">
        <v>196173</v>
      </c>
      <c r="B1052" s="77">
        <v>22598</v>
      </c>
      <c r="C1052" s="77" t="s">
        <v>180</v>
      </c>
      <c r="D1052" s="77">
        <v>3</v>
      </c>
      <c r="E1052" s="77">
        <v>2</v>
      </c>
      <c r="F1052" s="79">
        <f t="shared" si="16"/>
        <v>2130.886</v>
      </c>
      <c r="J1052" s="78">
        <v>22590</v>
      </c>
      <c r="K1052" s="78" t="s">
        <v>170</v>
      </c>
      <c r="L1052" s="78">
        <v>1192.4649999999999</v>
      </c>
    </row>
    <row r="1053" spans="1:12">
      <c r="A1053" s="77">
        <v>94104</v>
      </c>
      <c r="B1053" s="77">
        <v>22602</v>
      </c>
      <c r="C1053" s="77" t="s">
        <v>180</v>
      </c>
      <c r="D1053" s="77">
        <v>3.75</v>
      </c>
      <c r="E1053" s="77">
        <v>3</v>
      </c>
      <c r="F1053" s="79">
        <f t="shared" si="16"/>
        <v>1904.288</v>
      </c>
      <c r="J1053" s="78">
        <v>22597</v>
      </c>
      <c r="K1053" s="78" t="s">
        <v>172</v>
      </c>
      <c r="L1053" s="78">
        <v>8264.9449999999997</v>
      </c>
    </row>
    <row r="1054" spans="1:12">
      <c r="A1054" s="77">
        <v>152775</v>
      </c>
      <c r="B1054" s="77">
        <v>22607</v>
      </c>
      <c r="C1054" s="77" t="s">
        <v>180</v>
      </c>
      <c r="D1054" s="77">
        <v>2</v>
      </c>
      <c r="E1054" s="77">
        <v>1</v>
      </c>
      <c r="F1054" s="79">
        <f t="shared" si="16"/>
        <v>1612.692</v>
      </c>
      <c r="J1054" s="78">
        <v>22598</v>
      </c>
      <c r="K1054" s="78" t="s">
        <v>171</v>
      </c>
      <c r="L1054" s="78">
        <v>2130.886</v>
      </c>
    </row>
    <row r="1055" spans="1:12">
      <c r="A1055" s="77">
        <v>48886</v>
      </c>
      <c r="B1055" s="77">
        <v>22612</v>
      </c>
      <c r="C1055" s="77" t="s">
        <v>180</v>
      </c>
      <c r="D1055" s="77">
        <v>1.4</v>
      </c>
      <c r="E1055" s="77">
        <v>2</v>
      </c>
      <c r="F1055" s="79">
        <f t="shared" si="16"/>
        <v>3785.7640000000001</v>
      </c>
      <c r="J1055" s="78">
        <v>22602</v>
      </c>
      <c r="K1055" s="78" t="s">
        <v>173</v>
      </c>
      <c r="L1055" s="78">
        <v>1904.288</v>
      </c>
    </row>
    <row r="1056" spans="1:12">
      <c r="A1056" s="77">
        <v>248412</v>
      </c>
      <c r="B1056" s="77">
        <v>22615</v>
      </c>
      <c r="C1056" s="77" t="s">
        <v>180</v>
      </c>
      <c r="D1056" s="77">
        <v>2</v>
      </c>
      <c r="E1056" s="77">
        <v>2</v>
      </c>
      <c r="F1056" s="79">
        <f t="shared" si="16"/>
        <v>2130.886</v>
      </c>
      <c r="J1056" s="78">
        <v>22607</v>
      </c>
      <c r="K1056" s="78" t="s">
        <v>172</v>
      </c>
      <c r="L1056" s="78">
        <v>1612.692</v>
      </c>
    </row>
    <row r="1057" spans="1:12">
      <c r="A1057" s="77">
        <v>193745</v>
      </c>
      <c r="B1057" s="77">
        <v>22618</v>
      </c>
      <c r="C1057" s="77" t="s">
        <v>180</v>
      </c>
      <c r="D1057" s="77">
        <v>2</v>
      </c>
      <c r="E1057" s="77">
        <v>1</v>
      </c>
      <c r="F1057" s="79">
        <f t="shared" si="16"/>
        <v>2130.886</v>
      </c>
      <c r="J1057" s="78">
        <v>22612</v>
      </c>
      <c r="K1057" s="78" t="s">
        <v>170</v>
      </c>
      <c r="L1057" s="78">
        <v>3785.7640000000001</v>
      </c>
    </row>
    <row r="1058" spans="1:12">
      <c r="A1058" s="77">
        <v>215951</v>
      </c>
      <c r="B1058" s="77">
        <v>22620</v>
      </c>
      <c r="C1058" s="77" t="s">
        <v>180</v>
      </c>
      <c r="D1058" s="77">
        <v>2</v>
      </c>
      <c r="E1058" s="77">
        <v>3</v>
      </c>
      <c r="F1058" s="79">
        <f t="shared" si="16"/>
        <v>2079.9929999999999</v>
      </c>
      <c r="J1058" s="78">
        <v>22615</v>
      </c>
      <c r="K1058" s="78" t="s">
        <v>171</v>
      </c>
      <c r="L1058" s="78">
        <v>2130.886</v>
      </c>
    </row>
    <row r="1059" spans="1:12">
      <c r="A1059" s="77">
        <v>690172</v>
      </c>
      <c r="B1059" s="77">
        <v>22625</v>
      </c>
      <c r="C1059" s="77" t="s">
        <v>180</v>
      </c>
      <c r="D1059" s="77">
        <v>2</v>
      </c>
      <c r="E1059" s="77">
        <v>1</v>
      </c>
      <c r="F1059" s="79">
        <f t="shared" si="16"/>
        <v>1904.288</v>
      </c>
      <c r="J1059" s="78">
        <v>22618</v>
      </c>
      <c r="K1059" s="78" t="s">
        <v>171</v>
      </c>
      <c r="L1059" s="78">
        <v>2130.886</v>
      </c>
    </row>
    <row r="1060" spans="1:12">
      <c r="A1060" s="77">
        <v>101903</v>
      </c>
      <c r="B1060" s="77">
        <v>22627</v>
      </c>
      <c r="C1060" s="77" t="s">
        <v>180</v>
      </c>
      <c r="D1060" s="77">
        <v>2</v>
      </c>
      <c r="E1060" s="77">
        <v>1</v>
      </c>
      <c r="F1060" s="79">
        <f t="shared" si="16"/>
        <v>2130.886</v>
      </c>
      <c r="J1060" s="78">
        <v>22620</v>
      </c>
      <c r="K1060" s="78" t="s">
        <v>173</v>
      </c>
      <c r="L1060" s="78">
        <v>2079.9929999999999</v>
      </c>
    </row>
    <row r="1061" spans="1:12">
      <c r="A1061" s="77">
        <v>232819</v>
      </c>
      <c r="B1061" s="77">
        <v>22632</v>
      </c>
      <c r="C1061" s="77" t="s">
        <v>180</v>
      </c>
      <c r="D1061" s="77">
        <v>1.5</v>
      </c>
      <c r="E1061" s="77">
        <v>1</v>
      </c>
      <c r="F1061" s="79">
        <f t="shared" si="16"/>
        <v>1144.6790000000001</v>
      </c>
      <c r="J1061" s="78">
        <v>22625</v>
      </c>
      <c r="K1061" s="78" t="s">
        <v>173</v>
      </c>
      <c r="L1061" s="78">
        <v>1904.288</v>
      </c>
    </row>
    <row r="1062" spans="1:12">
      <c r="A1062" s="77">
        <v>106042</v>
      </c>
      <c r="B1062" s="77">
        <v>22641</v>
      </c>
      <c r="C1062" s="77" t="s">
        <v>180</v>
      </c>
      <c r="D1062" s="77">
        <v>2</v>
      </c>
      <c r="E1062" s="77">
        <v>3</v>
      </c>
      <c r="F1062" s="79">
        <f t="shared" si="16"/>
        <v>1144.6790000000001</v>
      </c>
      <c r="J1062" s="78">
        <v>22627</v>
      </c>
      <c r="K1062" s="78" t="s">
        <v>171</v>
      </c>
      <c r="L1062" s="78">
        <v>2130.886</v>
      </c>
    </row>
    <row r="1063" spans="1:12">
      <c r="A1063" s="77">
        <v>175908</v>
      </c>
      <c r="B1063" s="77">
        <v>22649</v>
      </c>
      <c r="C1063" s="77" t="s">
        <v>180</v>
      </c>
      <c r="D1063" s="77">
        <v>2</v>
      </c>
      <c r="E1063" s="77">
        <v>2</v>
      </c>
      <c r="F1063" s="79">
        <f t="shared" si="16"/>
        <v>1925.059</v>
      </c>
      <c r="J1063" s="78">
        <v>22632</v>
      </c>
      <c r="K1063" s="78" t="s">
        <v>171</v>
      </c>
      <c r="L1063" s="78">
        <v>1144.6790000000001</v>
      </c>
    </row>
    <row r="1064" spans="1:12">
      <c r="A1064" s="77">
        <v>113173</v>
      </c>
      <c r="B1064" s="77">
        <v>22652</v>
      </c>
      <c r="C1064" s="77" t="s">
        <v>180</v>
      </c>
      <c r="D1064" s="77">
        <v>1.9</v>
      </c>
      <c r="E1064" s="77">
        <v>3</v>
      </c>
      <c r="F1064" s="79">
        <f t="shared" si="16"/>
        <v>2079.9929999999999</v>
      </c>
      <c r="J1064" s="78">
        <v>22641</v>
      </c>
      <c r="K1064" s="78" t="s">
        <v>171</v>
      </c>
      <c r="L1064" s="78">
        <v>1144.6790000000001</v>
      </c>
    </row>
    <row r="1065" spans="1:12">
      <c r="A1065" s="77">
        <v>153709</v>
      </c>
      <c r="B1065" s="77">
        <v>22663</v>
      </c>
      <c r="C1065" s="77" t="s">
        <v>180</v>
      </c>
      <c r="D1065" s="77">
        <v>3.5</v>
      </c>
      <c r="E1065" s="77">
        <v>1</v>
      </c>
      <c r="F1065" s="79">
        <f t="shared" si="16"/>
        <v>1904.288</v>
      </c>
      <c r="J1065" s="78">
        <v>22649</v>
      </c>
      <c r="K1065" s="78" t="s">
        <v>172</v>
      </c>
      <c r="L1065" s="78">
        <v>1925.059</v>
      </c>
    </row>
    <row r="1066" spans="1:12">
      <c r="A1066" s="77">
        <v>179983</v>
      </c>
      <c r="B1066" s="77">
        <v>22671</v>
      </c>
      <c r="C1066" s="77" t="s">
        <v>180</v>
      </c>
      <c r="D1066" s="77">
        <v>4</v>
      </c>
      <c r="E1066" s="77">
        <v>1</v>
      </c>
      <c r="F1066" s="79">
        <f t="shared" si="16"/>
        <v>1612.692</v>
      </c>
      <c r="J1066" s="78">
        <v>22652</v>
      </c>
      <c r="K1066" s="78" t="s">
        <v>173</v>
      </c>
      <c r="L1066" s="78">
        <v>2079.9929999999999</v>
      </c>
    </row>
    <row r="1067" spans="1:12">
      <c r="A1067" s="77">
        <v>68314</v>
      </c>
      <c r="B1067" s="77">
        <v>22673</v>
      </c>
      <c r="C1067" s="77" t="s">
        <v>180</v>
      </c>
      <c r="D1067" s="77">
        <v>2.9</v>
      </c>
      <c r="E1067" s="77">
        <v>5</v>
      </c>
      <c r="F1067" s="79">
        <f t="shared" si="16"/>
        <v>1144.6790000000001</v>
      </c>
      <c r="J1067" s="78">
        <v>22663</v>
      </c>
      <c r="K1067" s="78" t="s">
        <v>173</v>
      </c>
      <c r="L1067" s="78">
        <v>1904.288</v>
      </c>
    </row>
    <row r="1068" spans="1:12">
      <c r="A1068" s="77">
        <v>192167</v>
      </c>
      <c r="B1068" s="77">
        <v>22679</v>
      </c>
      <c r="C1068" s="77" t="s">
        <v>180</v>
      </c>
      <c r="D1068" s="77">
        <v>2.5</v>
      </c>
      <c r="E1068" s="77">
        <v>2</v>
      </c>
      <c r="F1068" s="79">
        <f t="shared" si="16"/>
        <v>2130.886</v>
      </c>
      <c r="J1068" s="78">
        <v>22671</v>
      </c>
      <c r="K1068" s="78" t="s">
        <v>172</v>
      </c>
      <c r="L1068" s="78">
        <v>1612.692</v>
      </c>
    </row>
    <row r="1069" spans="1:12">
      <c r="A1069" s="77">
        <v>139128</v>
      </c>
      <c r="B1069" s="77">
        <v>22681</v>
      </c>
      <c r="C1069" s="77" t="s">
        <v>180</v>
      </c>
      <c r="D1069" s="77">
        <v>2.5</v>
      </c>
      <c r="E1069" s="77">
        <v>2</v>
      </c>
      <c r="F1069" s="79">
        <f t="shared" si="16"/>
        <v>1192.4649999999999</v>
      </c>
      <c r="J1069" s="78">
        <v>22673</v>
      </c>
      <c r="K1069" s="78" t="s">
        <v>171</v>
      </c>
      <c r="L1069" s="78">
        <v>1144.6790000000001</v>
      </c>
    </row>
    <row r="1070" spans="1:12">
      <c r="A1070" s="77">
        <v>103119</v>
      </c>
      <c r="B1070" s="77">
        <v>22683</v>
      </c>
      <c r="C1070" s="77" t="s">
        <v>180</v>
      </c>
      <c r="D1070" s="77">
        <v>2.5</v>
      </c>
      <c r="E1070" s="77">
        <v>1</v>
      </c>
      <c r="F1070" s="79">
        <f t="shared" si="16"/>
        <v>2079.9929999999999</v>
      </c>
      <c r="J1070" s="78">
        <v>22679</v>
      </c>
      <c r="K1070" s="78" t="s">
        <v>171</v>
      </c>
      <c r="L1070" s="78">
        <v>2130.886</v>
      </c>
    </row>
    <row r="1071" spans="1:12">
      <c r="A1071" s="77">
        <v>101673</v>
      </c>
      <c r="B1071" s="77">
        <v>22688</v>
      </c>
      <c r="C1071" s="77" t="s">
        <v>180</v>
      </c>
      <c r="D1071" s="77">
        <v>2.75</v>
      </c>
      <c r="E1071" s="77">
        <v>1</v>
      </c>
      <c r="F1071" s="79">
        <f t="shared" si="16"/>
        <v>1925.059</v>
      </c>
      <c r="J1071" s="78">
        <v>22681</v>
      </c>
      <c r="K1071" s="78" t="s">
        <v>170</v>
      </c>
      <c r="L1071" s="78">
        <v>1192.4649999999999</v>
      </c>
    </row>
    <row r="1072" spans="1:12">
      <c r="A1072" s="77">
        <v>44457</v>
      </c>
      <c r="B1072" s="77">
        <v>22693</v>
      </c>
      <c r="C1072" s="77" t="s">
        <v>180</v>
      </c>
      <c r="D1072" s="77">
        <v>1.5</v>
      </c>
      <c r="E1072" s="77">
        <v>2</v>
      </c>
      <c r="F1072" s="79">
        <f t="shared" si="16"/>
        <v>12271.31</v>
      </c>
      <c r="J1072" s="78">
        <v>22683</v>
      </c>
      <c r="K1072" s="78" t="s">
        <v>173</v>
      </c>
      <c r="L1072" s="78">
        <v>2079.9929999999999</v>
      </c>
    </row>
    <row r="1073" spans="1:12">
      <c r="A1073" s="77">
        <v>113068</v>
      </c>
      <c r="B1073" s="77">
        <v>22694</v>
      </c>
      <c r="C1073" s="77" t="s">
        <v>180</v>
      </c>
      <c r="D1073" s="77">
        <v>1.8</v>
      </c>
      <c r="E1073" s="77">
        <v>2</v>
      </c>
      <c r="F1073" s="79">
        <f t="shared" si="16"/>
        <v>2079.9929999999999</v>
      </c>
      <c r="J1073" s="78">
        <v>22688</v>
      </c>
      <c r="K1073" s="78" t="s">
        <v>172</v>
      </c>
      <c r="L1073" s="78">
        <v>1925.059</v>
      </c>
    </row>
    <row r="1074" spans="1:12">
      <c r="A1074" s="77">
        <v>199336</v>
      </c>
      <c r="B1074" s="77">
        <v>22699</v>
      </c>
      <c r="C1074" s="77" t="s">
        <v>180</v>
      </c>
      <c r="D1074" s="77">
        <v>4</v>
      </c>
      <c r="E1074" s="77">
        <v>2</v>
      </c>
      <c r="F1074" s="79">
        <f t="shared" si="16"/>
        <v>1612.692</v>
      </c>
      <c r="J1074" s="78">
        <v>22693</v>
      </c>
      <c r="K1074" s="78" t="s">
        <v>173</v>
      </c>
      <c r="L1074" s="78">
        <v>12271.31</v>
      </c>
    </row>
    <row r="1075" spans="1:12">
      <c r="A1075" s="77">
        <v>97563</v>
      </c>
      <c r="B1075" s="77">
        <v>22701</v>
      </c>
      <c r="C1075" s="77" t="s">
        <v>180</v>
      </c>
      <c r="D1075" s="77">
        <v>2.75</v>
      </c>
      <c r="E1075" s="77">
        <v>1</v>
      </c>
      <c r="F1075" s="79">
        <f t="shared" si="16"/>
        <v>1925.059</v>
      </c>
      <c r="J1075" s="78">
        <v>22694</v>
      </c>
      <c r="K1075" s="78" t="s">
        <v>173</v>
      </c>
      <c r="L1075" s="78">
        <v>2079.9929999999999</v>
      </c>
    </row>
    <row r="1076" spans="1:12">
      <c r="A1076" s="77">
        <v>227118</v>
      </c>
      <c r="B1076" s="77">
        <v>22702</v>
      </c>
      <c r="C1076" s="77" t="s">
        <v>180</v>
      </c>
      <c r="D1076" s="77">
        <v>2</v>
      </c>
      <c r="E1076" s="77">
        <v>3</v>
      </c>
      <c r="F1076" s="79">
        <f t="shared" si="16"/>
        <v>4360.1880000000001</v>
      </c>
      <c r="J1076" s="78">
        <v>22699</v>
      </c>
      <c r="K1076" s="78" t="s">
        <v>172</v>
      </c>
      <c r="L1076" s="78">
        <v>1612.692</v>
      </c>
    </row>
    <row r="1077" spans="1:12">
      <c r="A1077" s="77">
        <v>672094</v>
      </c>
      <c r="B1077" s="77">
        <v>22703</v>
      </c>
      <c r="C1077" s="77" t="s">
        <v>180</v>
      </c>
      <c r="D1077" s="77">
        <v>2</v>
      </c>
      <c r="E1077" s="77">
        <v>1</v>
      </c>
      <c r="F1077" s="79">
        <f t="shared" si="16"/>
        <v>2079.9929999999999</v>
      </c>
      <c r="J1077" s="78">
        <v>22701</v>
      </c>
      <c r="K1077" s="78" t="s">
        <v>172</v>
      </c>
      <c r="L1077" s="78">
        <v>1925.059</v>
      </c>
    </row>
    <row r="1078" spans="1:12">
      <c r="A1078" s="77">
        <v>105936</v>
      </c>
      <c r="B1078" s="77">
        <v>22705</v>
      </c>
      <c r="C1078" s="77" t="s">
        <v>180</v>
      </c>
      <c r="D1078" s="77">
        <v>1</v>
      </c>
      <c r="E1078" s="77">
        <v>2</v>
      </c>
      <c r="F1078" s="79">
        <f t="shared" si="16"/>
        <v>1144.6790000000001</v>
      </c>
      <c r="J1078" s="78">
        <v>22702</v>
      </c>
      <c r="K1078" s="78" t="s">
        <v>173</v>
      </c>
      <c r="L1078" s="78">
        <v>4360.1880000000001</v>
      </c>
    </row>
    <row r="1079" spans="1:12">
      <c r="A1079" s="77">
        <v>68243</v>
      </c>
      <c r="B1079" s="77">
        <v>22721</v>
      </c>
      <c r="C1079" s="77" t="s">
        <v>180</v>
      </c>
      <c r="D1079" s="77">
        <v>1.5</v>
      </c>
      <c r="E1079" s="77">
        <v>1</v>
      </c>
      <c r="F1079" s="79">
        <f t="shared" si="16"/>
        <v>2130.886</v>
      </c>
      <c r="J1079" s="78">
        <v>22703</v>
      </c>
      <c r="K1079" s="78" t="s">
        <v>173</v>
      </c>
      <c r="L1079" s="78">
        <v>2079.9929999999999</v>
      </c>
    </row>
    <row r="1080" spans="1:12">
      <c r="A1080" s="77">
        <v>167687</v>
      </c>
      <c r="B1080" s="77">
        <v>22724</v>
      </c>
      <c r="C1080" s="77" t="s">
        <v>180</v>
      </c>
      <c r="D1080" s="77">
        <v>1.75</v>
      </c>
      <c r="E1080" s="77">
        <v>1</v>
      </c>
      <c r="F1080" s="79">
        <f t="shared" si="16"/>
        <v>3785.7640000000001</v>
      </c>
      <c r="J1080" s="78">
        <v>22705</v>
      </c>
      <c r="K1080" s="78" t="s">
        <v>171</v>
      </c>
      <c r="L1080" s="78">
        <v>1144.6790000000001</v>
      </c>
    </row>
    <row r="1081" spans="1:12">
      <c r="A1081" s="77">
        <v>88049</v>
      </c>
      <c r="B1081" s="77">
        <v>22728</v>
      </c>
      <c r="C1081" s="77" t="s">
        <v>180</v>
      </c>
      <c r="D1081" s="77">
        <v>1.8</v>
      </c>
      <c r="E1081" s="77">
        <v>2</v>
      </c>
      <c r="F1081" s="79">
        <f t="shared" si="16"/>
        <v>1144.6790000000001</v>
      </c>
      <c r="J1081" s="78">
        <v>22721</v>
      </c>
      <c r="K1081" s="78" t="s">
        <v>171</v>
      </c>
      <c r="L1081" s="78">
        <v>2130.886</v>
      </c>
    </row>
    <row r="1082" spans="1:12">
      <c r="A1082" s="77">
        <v>178742</v>
      </c>
      <c r="B1082" s="77">
        <v>22733</v>
      </c>
      <c r="C1082" s="77" t="s">
        <v>180</v>
      </c>
      <c r="D1082" s="77">
        <v>2</v>
      </c>
      <c r="E1082" s="77">
        <v>1</v>
      </c>
      <c r="F1082" s="79">
        <f t="shared" si="16"/>
        <v>1192.4649999999999</v>
      </c>
      <c r="J1082" s="78">
        <v>22724</v>
      </c>
      <c r="K1082" s="78" t="s">
        <v>170</v>
      </c>
      <c r="L1082" s="78">
        <v>3785.7640000000001</v>
      </c>
    </row>
    <row r="1083" spans="1:12">
      <c r="A1083" s="77">
        <v>155315</v>
      </c>
      <c r="B1083" s="77">
        <v>22739</v>
      </c>
      <c r="C1083" s="77" t="s">
        <v>180</v>
      </c>
      <c r="D1083" s="77">
        <v>2</v>
      </c>
      <c r="E1083" s="77">
        <v>2</v>
      </c>
      <c r="F1083" s="79">
        <f t="shared" si="16"/>
        <v>1192.4649999999999</v>
      </c>
      <c r="J1083" s="78">
        <v>22728</v>
      </c>
      <c r="K1083" s="78" t="s">
        <v>171</v>
      </c>
      <c r="L1083" s="78">
        <v>1144.6790000000001</v>
      </c>
    </row>
    <row r="1084" spans="1:12">
      <c r="A1084" s="77">
        <v>106404</v>
      </c>
      <c r="B1084" s="77">
        <v>22743</v>
      </c>
      <c r="C1084" s="77" t="s">
        <v>180</v>
      </c>
      <c r="D1084" s="77">
        <v>2</v>
      </c>
      <c r="E1084" s="77">
        <v>2</v>
      </c>
      <c r="F1084" s="79">
        <f t="shared" si="16"/>
        <v>3785.7640000000001</v>
      </c>
      <c r="J1084" s="78">
        <v>22733</v>
      </c>
      <c r="K1084" s="78" t="s">
        <v>170</v>
      </c>
      <c r="L1084" s="78">
        <v>1192.4649999999999</v>
      </c>
    </row>
    <row r="1085" spans="1:12">
      <c r="A1085" s="77">
        <v>185914</v>
      </c>
      <c r="B1085" s="77">
        <v>22751</v>
      </c>
      <c r="C1085" s="77" t="s">
        <v>180</v>
      </c>
      <c r="D1085" s="77">
        <v>1.5</v>
      </c>
      <c r="E1085" s="77">
        <v>1</v>
      </c>
      <c r="F1085" s="79">
        <f t="shared" si="16"/>
        <v>1925.059</v>
      </c>
      <c r="J1085" s="78">
        <v>22739</v>
      </c>
      <c r="K1085" s="78" t="s">
        <v>170</v>
      </c>
      <c r="L1085" s="78">
        <v>1192.4649999999999</v>
      </c>
    </row>
    <row r="1086" spans="1:12">
      <c r="A1086" s="77">
        <v>195258</v>
      </c>
      <c r="B1086" s="77">
        <v>22756</v>
      </c>
      <c r="C1086" s="77" t="s">
        <v>180</v>
      </c>
      <c r="D1086" s="77">
        <v>2.25</v>
      </c>
      <c r="E1086" s="77">
        <v>2</v>
      </c>
      <c r="F1086" s="79">
        <f t="shared" si="16"/>
        <v>1904.288</v>
      </c>
      <c r="J1086" s="78">
        <v>22743</v>
      </c>
      <c r="K1086" s="78" t="s">
        <v>170</v>
      </c>
      <c r="L1086" s="78">
        <v>3785.7640000000001</v>
      </c>
    </row>
    <row r="1087" spans="1:12">
      <c r="A1087" s="77">
        <v>238495</v>
      </c>
      <c r="B1087" s="77">
        <v>22767</v>
      </c>
      <c r="C1087" s="77" t="s">
        <v>180</v>
      </c>
      <c r="D1087" s="77">
        <v>2.2000000000000002</v>
      </c>
      <c r="E1087" s="77">
        <v>2</v>
      </c>
      <c r="F1087" s="79">
        <f t="shared" si="16"/>
        <v>2079.9929999999999</v>
      </c>
      <c r="J1087" s="78">
        <v>22751</v>
      </c>
      <c r="K1087" s="78" t="s">
        <v>172</v>
      </c>
      <c r="L1087" s="78">
        <v>1925.059</v>
      </c>
    </row>
    <row r="1088" spans="1:12">
      <c r="A1088" s="77">
        <v>74361</v>
      </c>
      <c r="B1088" s="77">
        <v>22774</v>
      </c>
      <c r="C1088" s="77" t="s">
        <v>180</v>
      </c>
      <c r="D1088" s="77">
        <v>1.5</v>
      </c>
      <c r="E1088" s="77">
        <v>2</v>
      </c>
      <c r="F1088" s="79">
        <f t="shared" si="16"/>
        <v>1144.6790000000001</v>
      </c>
      <c r="J1088" s="78">
        <v>22756</v>
      </c>
      <c r="K1088" s="78" t="s">
        <v>173</v>
      </c>
      <c r="L1088" s="78">
        <v>1904.288</v>
      </c>
    </row>
    <row r="1089" spans="1:12">
      <c r="A1089" s="77">
        <v>241311</v>
      </c>
      <c r="B1089" s="77">
        <v>22785</v>
      </c>
      <c r="C1089" s="77" t="s">
        <v>180</v>
      </c>
      <c r="D1089" s="77">
        <v>2.2000000000000002</v>
      </c>
      <c r="E1089" s="77">
        <v>1</v>
      </c>
      <c r="F1089" s="79">
        <f t="shared" si="16"/>
        <v>2079.9929999999999</v>
      </c>
      <c r="J1089" s="78">
        <v>22767</v>
      </c>
      <c r="K1089" s="78" t="s">
        <v>173</v>
      </c>
      <c r="L1089" s="78">
        <v>2079.9929999999999</v>
      </c>
    </row>
    <row r="1090" spans="1:12">
      <c r="A1090" s="77">
        <v>112443</v>
      </c>
      <c r="B1090" s="77">
        <v>22787</v>
      </c>
      <c r="C1090" s="77" t="s">
        <v>180</v>
      </c>
      <c r="D1090" s="77">
        <v>2.5</v>
      </c>
      <c r="E1090" s="77">
        <v>2</v>
      </c>
      <c r="F1090" s="79">
        <f t="shared" si="16"/>
        <v>3785.7640000000001</v>
      </c>
      <c r="J1090" s="78">
        <v>22774</v>
      </c>
      <c r="K1090" s="78" t="s">
        <v>171</v>
      </c>
      <c r="L1090" s="78">
        <v>1144.6790000000001</v>
      </c>
    </row>
    <row r="1091" spans="1:12">
      <c r="A1091" s="77">
        <v>235155</v>
      </c>
      <c r="B1091" s="77">
        <v>22822</v>
      </c>
      <c r="C1091" s="77" t="s">
        <v>180</v>
      </c>
      <c r="D1091" s="77">
        <v>1.5</v>
      </c>
      <c r="E1091" s="77">
        <v>1</v>
      </c>
      <c r="F1091" s="79">
        <f t="shared" ref="F1091:F1154" si="17">VLOOKUP(B1091,$J$2:$L$1405,3,FALSE)</f>
        <v>1904.288</v>
      </c>
      <c r="J1091" s="78">
        <v>22785</v>
      </c>
      <c r="K1091" s="78" t="s">
        <v>173</v>
      </c>
      <c r="L1091" s="78">
        <v>2079.9929999999999</v>
      </c>
    </row>
    <row r="1092" spans="1:12">
      <c r="A1092" s="77">
        <v>163030</v>
      </c>
      <c r="B1092" s="77">
        <v>22832</v>
      </c>
      <c r="C1092" s="77" t="s">
        <v>180</v>
      </c>
      <c r="D1092" s="77">
        <v>2.9</v>
      </c>
      <c r="E1092" s="77">
        <v>2</v>
      </c>
      <c r="F1092" s="79">
        <f t="shared" si="17"/>
        <v>1612.692</v>
      </c>
      <c r="J1092" s="78">
        <v>22787</v>
      </c>
      <c r="K1092" s="78" t="s">
        <v>170</v>
      </c>
      <c r="L1092" s="78">
        <v>3785.7640000000001</v>
      </c>
    </row>
    <row r="1093" spans="1:12">
      <c r="A1093" s="77">
        <v>120202</v>
      </c>
      <c r="B1093" s="77">
        <v>22833</v>
      </c>
      <c r="C1093" s="77" t="s">
        <v>180</v>
      </c>
      <c r="D1093" s="77">
        <v>2.5</v>
      </c>
      <c r="E1093" s="77">
        <v>2</v>
      </c>
      <c r="F1093" s="79">
        <f t="shared" si="17"/>
        <v>3785.7640000000001</v>
      </c>
      <c r="J1093" s="78">
        <v>22822</v>
      </c>
      <c r="K1093" s="78" t="s">
        <v>173</v>
      </c>
      <c r="L1093" s="78">
        <v>1904.288</v>
      </c>
    </row>
    <row r="1094" spans="1:12">
      <c r="A1094" s="77">
        <v>87690</v>
      </c>
      <c r="B1094" s="77">
        <v>22845</v>
      </c>
      <c r="C1094" s="77" t="s">
        <v>180</v>
      </c>
      <c r="D1094" s="77">
        <v>2.2999999999999998</v>
      </c>
      <c r="E1094" s="77">
        <v>2</v>
      </c>
      <c r="F1094" s="79">
        <f t="shared" si="17"/>
        <v>1144.6790000000001</v>
      </c>
      <c r="J1094" s="78">
        <v>22832</v>
      </c>
      <c r="K1094" s="78" t="s">
        <v>172</v>
      </c>
      <c r="L1094" s="78">
        <v>1612.692</v>
      </c>
    </row>
    <row r="1095" spans="1:12">
      <c r="A1095" s="77">
        <v>242119</v>
      </c>
      <c r="B1095" s="77">
        <v>22854</v>
      </c>
      <c r="C1095" s="77" t="s">
        <v>180</v>
      </c>
      <c r="D1095" s="77">
        <v>2</v>
      </c>
      <c r="E1095" s="77">
        <v>2</v>
      </c>
      <c r="F1095" s="79">
        <f t="shared" si="17"/>
        <v>1144.6790000000001</v>
      </c>
      <c r="J1095" s="78">
        <v>22833</v>
      </c>
      <c r="K1095" s="78" t="s">
        <v>170</v>
      </c>
      <c r="L1095" s="78">
        <v>3785.7640000000001</v>
      </c>
    </row>
    <row r="1096" spans="1:12">
      <c r="A1096" s="77">
        <v>48246</v>
      </c>
      <c r="B1096" s="77">
        <v>22855</v>
      </c>
      <c r="C1096" s="77" t="s">
        <v>180</v>
      </c>
      <c r="D1096" s="77">
        <v>2.25</v>
      </c>
      <c r="E1096" s="77">
        <v>3</v>
      </c>
      <c r="F1096" s="79">
        <f t="shared" si="17"/>
        <v>2079.9929999999999</v>
      </c>
      <c r="J1096" s="78">
        <v>22845</v>
      </c>
      <c r="K1096" s="78" t="s">
        <v>171</v>
      </c>
      <c r="L1096" s="78">
        <v>1144.6790000000001</v>
      </c>
    </row>
    <row r="1097" spans="1:12">
      <c r="A1097" s="77">
        <v>204915</v>
      </c>
      <c r="B1097" s="77">
        <v>22869</v>
      </c>
      <c r="C1097" s="77" t="s">
        <v>180</v>
      </c>
      <c r="D1097" s="77">
        <v>2.25</v>
      </c>
      <c r="E1097" s="77">
        <v>2</v>
      </c>
      <c r="F1097" s="79">
        <f t="shared" si="17"/>
        <v>2079.9929999999999</v>
      </c>
      <c r="J1097" s="78">
        <v>22854</v>
      </c>
      <c r="K1097" s="78" t="s">
        <v>171</v>
      </c>
      <c r="L1097" s="78">
        <v>1144.6790000000001</v>
      </c>
    </row>
    <row r="1098" spans="1:12">
      <c r="A1098" s="77">
        <v>184223</v>
      </c>
      <c r="B1098" s="77">
        <v>22872</v>
      </c>
      <c r="C1098" s="77" t="s">
        <v>180</v>
      </c>
      <c r="D1098" s="77">
        <v>2.25</v>
      </c>
      <c r="E1098" s="77">
        <v>2</v>
      </c>
      <c r="F1098" s="79">
        <f t="shared" si="17"/>
        <v>3785.7640000000001</v>
      </c>
      <c r="J1098" s="78">
        <v>22855</v>
      </c>
      <c r="K1098" s="78" t="s">
        <v>173</v>
      </c>
      <c r="L1098" s="78">
        <v>2079.9929999999999</v>
      </c>
    </row>
    <row r="1099" spans="1:12">
      <c r="A1099" s="77">
        <v>156917</v>
      </c>
      <c r="B1099" s="77">
        <v>22878</v>
      </c>
      <c r="C1099" s="77" t="s">
        <v>180</v>
      </c>
      <c r="D1099" s="77">
        <v>2.5</v>
      </c>
      <c r="E1099" s="77">
        <v>3</v>
      </c>
      <c r="F1099" s="79">
        <f t="shared" si="17"/>
        <v>3785.7640000000001</v>
      </c>
      <c r="J1099" s="78">
        <v>22869</v>
      </c>
      <c r="K1099" s="78" t="s">
        <v>173</v>
      </c>
      <c r="L1099" s="78">
        <v>2079.9929999999999</v>
      </c>
    </row>
    <row r="1100" spans="1:12">
      <c r="A1100" s="77">
        <v>189487</v>
      </c>
      <c r="B1100" s="77">
        <v>22880</v>
      </c>
      <c r="C1100" s="77" t="s">
        <v>180</v>
      </c>
      <c r="D1100" s="77">
        <v>2</v>
      </c>
      <c r="E1100" s="77">
        <v>2</v>
      </c>
      <c r="F1100" s="79">
        <f t="shared" si="17"/>
        <v>1612.692</v>
      </c>
      <c r="J1100" s="78">
        <v>22872</v>
      </c>
      <c r="K1100" s="78" t="s">
        <v>170</v>
      </c>
      <c r="L1100" s="78">
        <v>3785.7640000000001</v>
      </c>
    </row>
    <row r="1101" spans="1:12">
      <c r="A1101" s="77">
        <v>98078</v>
      </c>
      <c r="B1101" s="77">
        <v>22890</v>
      </c>
      <c r="C1101" s="77" t="s">
        <v>180</v>
      </c>
      <c r="D1101" s="77">
        <v>1.75</v>
      </c>
      <c r="E1101" s="77">
        <v>1</v>
      </c>
      <c r="F1101" s="79">
        <f t="shared" si="17"/>
        <v>1904.288</v>
      </c>
      <c r="J1101" s="78">
        <v>22878</v>
      </c>
      <c r="K1101" s="78" t="s">
        <v>170</v>
      </c>
      <c r="L1101" s="78">
        <v>3785.7640000000001</v>
      </c>
    </row>
    <row r="1102" spans="1:12">
      <c r="A1102" s="77">
        <v>96870</v>
      </c>
      <c r="B1102" s="77">
        <v>22891</v>
      </c>
      <c r="C1102" s="77" t="s">
        <v>180</v>
      </c>
      <c r="D1102" s="77">
        <v>3</v>
      </c>
      <c r="E1102" s="77">
        <v>2</v>
      </c>
      <c r="F1102" s="79">
        <f t="shared" si="17"/>
        <v>3785.7640000000001</v>
      </c>
      <c r="J1102" s="78">
        <v>22880</v>
      </c>
      <c r="K1102" s="78" t="s">
        <v>172</v>
      </c>
      <c r="L1102" s="78">
        <v>1612.692</v>
      </c>
    </row>
    <row r="1103" spans="1:12">
      <c r="A1103" s="77">
        <v>81373</v>
      </c>
      <c r="B1103" s="77">
        <v>22897</v>
      </c>
      <c r="C1103" s="77" t="s">
        <v>180</v>
      </c>
      <c r="D1103" s="77">
        <v>4</v>
      </c>
      <c r="E1103" s="77">
        <v>2</v>
      </c>
      <c r="F1103" s="79">
        <f t="shared" si="17"/>
        <v>2079.9929999999999</v>
      </c>
      <c r="J1103" s="78">
        <v>22890</v>
      </c>
      <c r="K1103" s="78" t="s">
        <v>173</v>
      </c>
      <c r="L1103" s="78">
        <v>1904.288</v>
      </c>
    </row>
    <row r="1104" spans="1:12">
      <c r="A1104" s="77">
        <v>164288</v>
      </c>
      <c r="B1104" s="77">
        <v>22902</v>
      </c>
      <c r="C1104" s="77" t="s">
        <v>180</v>
      </c>
      <c r="D1104" s="77">
        <v>3</v>
      </c>
      <c r="E1104" s="77">
        <v>1</v>
      </c>
      <c r="F1104" s="79">
        <f t="shared" si="17"/>
        <v>2130.886</v>
      </c>
      <c r="J1104" s="78">
        <v>22891</v>
      </c>
      <c r="K1104" s="78" t="s">
        <v>170</v>
      </c>
      <c r="L1104" s="78">
        <v>3785.7640000000001</v>
      </c>
    </row>
    <row r="1105" spans="1:12">
      <c r="A1105" s="77">
        <v>106836</v>
      </c>
      <c r="B1105" s="77">
        <v>22903</v>
      </c>
      <c r="C1105" s="77" t="s">
        <v>180</v>
      </c>
      <c r="D1105" s="77">
        <v>2.5</v>
      </c>
      <c r="E1105" s="77">
        <v>2</v>
      </c>
      <c r="F1105" s="79">
        <f t="shared" si="17"/>
        <v>1904.288</v>
      </c>
      <c r="J1105" s="78">
        <v>22897</v>
      </c>
      <c r="K1105" s="78" t="s">
        <v>173</v>
      </c>
      <c r="L1105" s="78">
        <v>2079.9929999999999</v>
      </c>
    </row>
    <row r="1106" spans="1:12">
      <c r="A1106" s="77">
        <v>201800</v>
      </c>
      <c r="B1106" s="77">
        <v>22904</v>
      </c>
      <c r="C1106" s="77" t="s">
        <v>180</v>
      </c>
      <c r="D1106" s="77">
        <v>2.75</v>
      </c>
      <c r="E1106" s="77">
        <v>2</v>
      </c>
      <c r="F1106" s="79">
        <f t="shared" si="17"/>
        <v>1612.692</v>
      </c>
      <c r="J1106" s="78">
        <v>22902</v>
      </c>
      <c r="K1106" s="78" t="s">
        <v>171</v>
      </c>
      <c r="L1106" s="78">
        <v>2130.886</v>
      </c>
    </row>
    <row r="1107" spans="1:12">
      <c r="A1107" s="77">
        <v>677818</v>
      </c>
      <c r="B1107" s="77">
        <v>22909</v>
      </c>
      <c r="C1107" s="77" t="s">
        <v>180</v>
      </c>
      <c r="D1107" s="77">
        <v>2</v>
      </c>
      <c r="E1107" s="77">
        <v>1</v>
      </c>
      <c r="F1107" s="79">
        <f t="shared" si="17"/>
        <v>3785.7640000000001</v>
      </c>
      <c r="J1107" s="78">
        <v>22903</v>
      </c>
      <c r="K1107" s="78" t="s">
        <v>173</v>
      </c>
      <c r="L1107" s="78">
        <v>1904.288</v>
      </c>
    </row>
    <row r="1108" spans="1:12">
      <c r="A1108" s="77">
        <v>124713</v>
      </c>
      <c r="B1108" s="77">
        <v>22919</v>
      </c>
      <c r="C1108" s="77" t="s">
        <v>180</v>
      </c>
      <c r="D1108" s="77">
        <v>2.6</v>
      </c>
      <c r="E1108" s="77">
        <v>2</v>
      </c>
      <c r="F1108" s="79">
        <f t="shared" si="17"/>
        <v>2079.9929999999999</v>
      </c>
      <c r="J1108" s="78">
        <v>22904</v>
      </c>
      <c r="K1108" s="78" t="s">
        <v>172</v>
      </c>
      <c r="L1108" s="78">
        <v>1612.692</v>
      </c>
    </row>
    <row r="1109" spans="1:12">
      <c r="A1109" s="77">
        <v>185038</v>
      </c>
      <c r="B1109" s="77">
        <v>22935</v>
      </c>
      <c r="C1109" s="77" t="s">
        <v>180</v>
      </c>
      <c r="D1109" s="77">
        <v>2</v>
      </c>
      <c r="E1109" s="77">
        <v>3</v>
      </c>
      <c r="F1109" s="79">
        <f t="shared" si="17"/>
        <v>1192.4649999999999</v>
      </c>
      <c r="J1109" s="78">
        <v>22909</v>
      </c>
      <c r="K1109" s="78" t="s">
        <v>170</v>
      </c>
      <c r="L1109" s="78">
        <v>3785.7640000000001</v>
      </c>
    </row>
    <row r="1110" spans="1:12">
      <c r="A1110" s="77">
        <v>682824</v>
      </c>
      <c r="B1110" s="77">
        <v>22938</v>
      </c>
      <c r="C1110" s="77" t="s">
        <v>180</v>
      </c>
      <c r="D1110" s="77">
        <v>2.25</v>
      </c>
      <c r="E1110" s="77">
        <v>2</v>
      </c>
      <c r="F1110" s="79">
        <f t="shared" si="17"/>
        <v>12271.31</v>
      </c>
      <c r="J1110" s="78">
        <v>22919</v>
      </c>
      <c r="K1110" s="78" t="s">
        <v>173</v>
      </c>
      <c r="L1110" s="78">
        <v>2079.9929999999999</v>
      </c>
    </row>
    <row r="1111" spans="1:12">
      <c r="A1111" s="77">
        <v>110915</v>
      </c>
      <c r="B1111" s="77">
        <v>22944</v>
      </c>
      <c r="C1111" s="77" t="s">
        <v>180</v>
      </c>
      <c r="D1111" s="77">
        <v>3.2</v>
      </c>
      <c r="E1111" s="77">
        <v>2</v>
      </c>
      <c r="F1111" s="79">
        <f t="shared" si="17"/>
        <v>2079.9929999999999</v>
      </c>
      <c r="J1111" s="78">
        <v>22935</v>
      </c>
      <c r="K1111" s="78" t="s">
        <v>170</v>
      </c>
      <c r="L1111" s="78">
        <v>1192.4649999999999</v>
      </c>
    </row>
    <row r="1112" spans="1:12">
      <c r="A1112" s="77">
        <v>161218</v>
      </c>
      <c r="B1112" s="77">
        <v>22950</v>
      </c>
      <c r="C1112" s="77" t="s">
        <v>180</v>
      </c>
      <c r="D1112" s="77">
        <v>2.5</v>
      </c>
      <c r="E1112" s="77">
        <v>2</v>
      </c>
      <c r="F1112" s="79">
        <f t="shared" si="17"/>
        <v>2130.886</v>
      </c>
      <c r="J1112" s="78">
        <v>22938</v>
      </c>
      <c r="K1112" s="78" t="s">
        <v>173</v>
      </c>
      <c r="L1112" s="78">
        <v>12271.31</v>
      </c>
    </row>
    <row r="1113" spans="1:12">
      <c r="A1113" s="77">
        <v>78897</v>
      </c>
      <c r="B1113" s="77">
        <v>22953</v>
      </c>
      <c r="C1113" s="77" t="s">
        <v>180</v>
      </c>
      <c r="D1113" s="77">
        <v>1.75</v>
      </c>
      <c r="E1113" s="77">
        <v>1</v>
      </c>
      <c r="F1113" s="79">
        <f t="shared" si="17"/>
        <v>1144.6790000000001</v>
      </c>
      <c r="J1113" s="78">
        <v>22944</v>
      </c>
      <c r="K1113" s="78" t="s">
        <v>173</v>
      </c>
      <c r="L1113" s="78">
        <v>2079.9929999999999</v>
      </c>
    </row>
    <row r="1114" spans="1:12">
      <c r="A1114" s="77">
        <v>56350</v>
      </c>
      <c r="B1114" s="77">
        <v>22955</v>
      </c>
      <c r="C1114" s="77" t="s">
        <v>180</v>
      </c>
      <c r="D1114" s="77">
        <v>5</v>
      </c>
      <c r="E1114" s="77">
        <v>2</v>
      </c>
      <c r="F1114" s="79">
        <f t="shared" si="17"/>
        <v>3785.7640000000001</v>
      </c>
      <c r="J1114" s="78">
        <v>22950</v>
      </c>
      <c r="K1114" s="78" t="s">
        <v>171</v>
      </c>
      <c r="L1114" s="78">
        <v>2130.886</v>
      </c>
    </row>
    <row r="1115" spans="1:12">
      <c r="A1115" s="77">
        <v>101571</v>
      </c>
      <c r="B1115" s="77">
        <v>22957</v>
      </c>
      <c r="C1115" s="77" t="s">
        <v>180</v>
      </c>
      <c r="D1115" s="77">
        <v>3.25</v>
      </c>
      <c r="E1115" s="77">
        <v>1</v>
      </c>
      <c r="F1115" s="79">
        <f t="shared" si="17"/>
        <v>1925.059</v>
      </c>
      <c r="J1115" s="78">
        <v>22953</v>
      </c>
      <c r="K1115" s="78" t="s">
        <v>171</v>
      </c>
      <c r="L1115" s="78">
        <v>1144.6790000000001</v>
      </c>
    </row>
    <row r="1116" spans="1:12">
      <c r="A1116" s="77">
        <v>168944</v>
      </c>
      <c r="B1116" s="77">
        <v>22960</v>
      </c>
      <c r="C1116" s="77" t="s">
        <v>180</v>
      </c>
      <c r="D1116" s="77">
        <v>2.5</v>
      </c>
      <c r="E1116" s="77">
        <v>2</v>
      </c>
      <c r="F1116" s="79">
        <f t="shared" si="17"/>
        <v>2130.886</v>
      </c>
      <c r="J1116" s="78">
        <v>22955</v>
      </c>
      <c r="K1116" s="78" t="s">
        <v>170</v>
      </c>
      <c r="L1116" s="78">
        <v>3785.7640000000001</v>
      </c>
    </row>
    <row r="1117" spans="1:12">
      <c r="A1117" s="77">
        <v>189276</v>
      </c>
      <c r="B1117" s="77">
        <v>22965</v>
      </c>
      <c r="C1117" s="77" t="s">
        <v>180</v>
      </c>
      <c r="D1117" s="77">
        <v>2</v>
      </c>
      <c r="E1117" s="77">
        <v>2</v>
      </c>
      <c r="F1117" s="79">
        <f t="shared" si="17"/>
        <v>1612.692</v>
      </c>
      <c r="J1117" s="78">
        <v>22957</v>
      </c>
      <c r="K1117" s="78" t="s">
        <v>172</v>
      </c>
      <c r="L1117" s="78">
        <v>1925.059</v>
      </c>
    </row>
    <row r="1118" spans="1:12">
      <c r="A1118" s="77">
        <v>69871</v>
      </c>
      <c r="B1118" s="77">
        <v>22966</v>
      </c>
      <c r="C1118" s="77" t="s">
        <v>180</v>
      </c>
      <c r="D1118" s="77">
        <v>3</v>
      </c>
      <c r="E1118" s="77">
        <v>1</v>
      </c>
      <c r="F1118" s="79">
        <f t="shared" si="17"/>
        <v>2130.886</v>
      </c>
      <c r="J1118" s="78">
        <v>22960</v>
      </c>
      <c r="K1118" s="78" t="s">
        <v>171</v>
      </c>
      <c r="L1118" s="78">
        <v>2130.886</v>
      </c>
    </row>
    <row r="1119" spans="1:12">
      <c r="A1119" s="77">
        <v>204326</v>
      </c>
      <c r="B1119" s="77">
        <v>22969</v>
      </c>
      <c r="C1119" s="77" t="s">
        <v>180</v>
      </c>
      <c r="D1119" s="77">
        <v>2</v>
      </c>
      <c r="E1119" s="77">
        <v>2</v>
      </c>
      <c r="F1119" s="79">
        <f t="shared" si="17"/>
        <v>2079.9929999999999</v>
      </c>
      <c r="J1119" s="78">
        <v>22965</v>
      </c>
      <c r="K1119" s="78" t="s">
        <v>172</v>
      </c>
      <c r="L1119" s="78">
        <v>1612.692</v>
      </c>
    </row>
    <row r="1120" spans="1:12">
      <c r="A1120" s="77">
        <v>81661</v>
      </c>
      <c r="B1120" s="77">
        <v>22977</v>
      </c>
      <c r="C1120" s="77" t="s">
        <v>180</v>
      </c>
      <c r="D1120" s="77">
        <v>3</v>
      </c>
      <c r="E1120" s="77">
        <v>3</v>
      </c>
      <c r="F1120" s="79">
        <f t="shared" si="17"/>
        <v>1925.059</v>
      </c>
      <c r="J1120" s="78">
        <v>22966</v>
      </c>
      <c r="K1120" s="78" t="s">
        <v>171</v>
      </c>
      <c r="L1120" s="78">
        <v>2130.886</v>
      </c>
    </row>
    <row r="1121" spans="1:12">
      <c r="A1121" s="77">
        <v>215680</v>
      </c>
      <c r="B1121" s="77">
        <v>22982</v>
      </c>
      <c r="C1121" s="77" t="s">
        <v>180</v>
      </c>
      <c r="D1121" s="77">
        <v>2</v>
      </c>
      <c r="E1121" s="77">
        <v>2</v>
      </c>
      <c r="F1121" s="79">
        <f t="shared" si="17"/>
        <v>2079.9929999999999</v>
      </c>
      <c r="J1121" s="78">
        <v>22969</v>
      </c>
      <c r="K1121" s="78" t="s">
        <v>173</v>
      </c>
      <c r="L1121" s="78">
        <v>2079.9929999999999</v>
      </c>
    </row>
    <row r="1122" spans="1:12">
      <c r="A1122" s="77">
        <v>154476</v>
      </c>
      <c r="B1122" s="77">
        <v>22985</v>
      </c>
      <c r="C1122" s="77" t="s">
        <v>180</v>
      </c>
      <c r="D1122" s="77">
        <v>3</v>
      </c>
      <c r="E1122" s="77">
        <v>2</v>
      </c>
      <c r="F1122" s="79">
        <f t="shared" si="17"/>
        <v>6932.7380000000003</v>
      </c>
      <c r="J1122" s="78">
        <v>22977</v>
      </c>
      <c r="K1122" s="78" t="s">
        <v>172</v>
      </c>
      <c r="L1122" s="78">
        <v>1925.059</v>
      </c>
    </row>
    <row r="1123" spans="1:12">
      <c r="A1123" s="77">
        <v>164664</v>
      </c>
      <c r="B1123" s="77">
        <v>22993</v>
      </c>
      <c r="C1123" s="77" t="s">
        <v>180</v>
      </c>
      <c r="D1123" s="77">
        <v>1.5</v>
      </c>
      <c r="E1123" s="77">
        <v>1</v>
      </c>
      <c r="F1123" s="79">
        <f t="shared" si="17"/>
        <v>8264.9449999999997</v>
      </c>
      <c r="J1123" s="78">
        <v>22982</v>
      </c>
      <c r="K1123" s="78" t="s">
        <v>173</v>
      </c>
      <c r="L1123" s="78">
        <v>2079.9929999999999</v>
      </c>
    </row>
    <row r="1124" spans="1:12">
      <c r="A1124" s="77">
        <v>189582</v>
      </c>
      <c r="B1124" s="77">
        <v>22994</v>
      </c>
      <c r="C1124" s="77" t="s">
        <v>180</v>
      </c>
      <c r="D1124" s="77">
        <v>3</v>
      </c>
      <c r="E1124" s="77">
        <v>2</v>
      </c>
      <c r="F1124" s="79">
        <f t="shared" si="17"/>
        <v>1612.692</v>
      </c>
      <c r="J1124" s="78">
        <v>22985</v>
      </c>
      <c r="K1124" s="78" t="s">
        <v>172</v>
      </c>
      <c r="L1124" s="78">
        <v>6932.7380000000003</v>
      </c>
    </row>
    <row r="1125" spans="1:12">
      <c r="A1125" s="77">
        <v>113308</v>
      </c>
      <c r="B1125" s="77">
        <v>23003</v>
      </c>
      <c r="C1125" s="77" t="s">
        <v>180</v>
      </c>
      <c r="D1125" s="77">
        <v>1.8</v>
      </c>
      <c r="E1125" s="77">
        <v>1</v>
      </c>
      <c r="F1125" s="79">
        <f t="shared" si="17"/>
        <v>2079.9929999999999</v>
      </c>
      <c r="J1125" s="78">
        <v>22993</v>
      </c>
      <c r="K1125" s="78" t="s">
        <v>172</v>
      </c>
      <c r="L1125" s="78">
        <v>8264.9449999999997</v>
      </c>
    </row>
    <row r="1126" spans="1:12">
      <c r="A1126" s="77">
        <v>682165</v>
      </c>
      <c r="B1126" s="77">
        <v>23017</v>
      </c>
      <c r="C1126" s="77" t="s">
        <v>180</v>
      </c>
      <c r="D1126" s="77">
        <v>2</v>
      </c>
      <c r="E1126" s="77">
        <v>4</v>
      </c>
      <c r="F1126" s="79">
        <f t="shared" si="17"/>
        <v>3785.7640000000001</v>
      </c>
      <c r="J1126" s="78">
        <v>22994</v>
      </c>
      <c r="K1126" s="78" t="s">
        <v>172</v>
      </c>
      <c r="L1126" s="78">
        <v>1612.692</v>
      </c>
    </row>
    <row r="1127" spans="1:12">
      <c r="A1127" s="77">
        <v>132295</v>
      </c>
      <c r="B1127" s="77">
        <v>23021</v>
      </c>
      <c r="C1127" s="77" t="s">
        <v>180</v>
      </c>
      <c r="D1127" s="77">
        <v>1.75</v>
      </c>
      <c r="E1127" s="77">
        <v>2</v>
      </c>
      <c r="F1127" s="79">
        <f t="shared" si="17"/>
        <v>1144.6790000000001</v>
      </c>
      <c r="J1127" s="78">
        <v>23003</v>
      </c>
      <c r="K1127" s="78" t="s">
        <v>173</v>
      </c>
      <c r="L1127" s="78">
        <v>2079.9929999999999</v>
      </c>
    </row>
    <row r="1128" spans="1:12">
      <c r="A1128" s="77">
        <v>683397</v>
      </c>
      <c r="B1128" s="77">
        <v>23028</v>
      </c>
      <c r="C1128" s="77" t="s">
        <v>180</v>
      </c>
      <c r="D1128" s="77">
        <v>2</v>
      </c>
      <c r="E1128" s="77">
        <v>3</v>
      </c>
      <c r="F1128" s="79">
        <f t="shared" si="17"/>
        <v>12271.31</v>
      </c>
      <c r="J1128" s="78">
        <v>23017</v>
      </c>
      <c r="K1128" s="78" t="s">
        <v>170</v>
      </c>
      <c r="L1128" s="78">
        <v>3785.7640000000001</v>
      </c>
    </row>
    <row r="1129" spans="1:12">
      <c r="A1129" s="77">
        <v>182585</v>
      </c>
      <c r="B1129" s="77">
        <v>23029</v>
      </c>
      <c r="C1129" s="77" t="s">
        <v>180</v>
      </c>
      <c r="D1129" s="77">
        <v>3</v>
      </c>
      <c r="E1129" s="77">
        <v>3</v>
      </c>
      <c r="F1129" s="79">
        <f t="shared" si="17"/>
        <v>1612.692</v>
      </c>
      <c r="J1129" s="78">
        <v>23021</v>
      </c>
      <c r="K1129" s="78" t="s">
        <v>171</v>
      </c>
      <c r="L1129" s="78">
        <v>1144.6790000000001</v>
      </c>
    </row>
    <row r="1130" spans="1:12">
      <c r="A1130" s="77">
        <v>178503</v>
      </c>
      <c r="B1130" s="77">
        <v>23034</v>
      </c>
      <c r="C1130" s="77" t="s">
        <v>180</v>
      </c>
      <c r="D1130" s="77">
        <v>2</v>
      </c>
      <c r="E1130" s="77">
        <v>2</v>
      </c>
      <c r="F1130" s="79">
        <f t="shared" si="17"/>
        <v>1192.4649999999999</v>
      </c>
      <c r="J1130" s="78">
        <v>23028</v>
      </c>
      <c r="K1130" s="78" t="s">
        <v>173</v>
      </c>
      <c r="L1130" s="78">
        <v>12271.31</v>
      </c>
    </row>
    <row r="1131" spans="1:12">
      <c r="A1131" s="77">
        <v>239082</v>
      </c>
      <c r="B1131" s="77">
        <v>23049</v>
      </c>
      <c r="C1131" s="77" t="s">
        <v>180</v>
      </c>
      <c r="D1131" s="77">
        <v>4</v>
      </c>
      <c r="E1131" s="77">
        <v>3</v>
      </c>
      <c r="F1131" s="79">
        <f t="shared" si="17"/>
        <v>3785.7640000000001</v>
      </c>
      <c r="J1131" s="78">
        <v>23029</v>
      </c>
      <c r="K1131" s="78" t="s">
        <v>172</v>
      </c>
      <c r="L1131" s="78">
        <v>1612.692</v>
      </c>
    </row>
    <row r="1132" spans="1:12">
      <c r="A1132" s="77">
        <v>686847</v>
      </c>
      <c r="B1132" s="77">
        <v>23084</v>
      </c>
      <c r="C1132" s="77" t="s">
        <v>180</v>
      </c>
      <c r="D1132" s="77">
        <v>2</v>
      </c>
      <c r="E1132" s="77">
        <v>2</v>
      </c>
      <c r="F1132" s="79">
        <f t="shared" si="17"/>
        <v>2079.9929999999999</v>
      </c>
      <c r="J1132" s="78">
        <v>23034</v>
      </c>
      <c r="K1132" s="78" t="s">
        <v>170</v>
      </c>
      <c r="L1132" s="78">
        <v>1192.4649999999999</v>
      </c>
    </row>
    <row r="1133" spans="1:12">
      <c r="A1133" s="77">
        <v>51308</v>
      </c>
      <c r="B1133" s="77">
        <v>23110</v>
      </c>
      <c r="C1133" s="77" t="s">
        <v>180</v>
      </c>
      <c r="D1133" s="77">
        <v>2.75</v>
      </c>
      <c r="E1133" s="77">
        <v>1</v>
      </c>
      <c r="F1133" s="79">
        <f t="shared" si="17"/>
        <v>3785.7640000000001</v>
      </c>
      <c r="J1133" s="78">
        <v>23049</v>
      </c>
      <c r="K1133" s="78" t="s">
        <v>170</v>
      </c>
      <c r="L1133" s="78">
        <v>3785.7640000000001</v>
      </c>
    </row>
    <row r="1134" spans="1:12">
      <c r="A1134" s="77">
        <v>166608</v>
      </c>
      <c r="B1134" s="77">
        <v>23111</v>
      </c>
      <c r="C1134" s="77" t="s">
        <v>180</v>
      </c>
      <c r="D1134" s="77">
        <v>3</v>
      </c>
      <c r="E1134" s="77">
        <v>3</v>
      </c>
      <c r="F1134" s="79">
        <f t="shared" si="17"/>
        <v>1192.4649999999999</v>
      </c>
      <c r="J1134" s="78">
        <v>23084</v>
      </c>
      <c r="K1134" s="78" t="s">
        <v>173</v>
      </c>
      <c r="L1134" s="78">
        <v>2079.9929999999999</v>
      </c>
    </row>
    <row r="1135" spans="1:12">
      <c r="A1135" s="77">
        <v>232312</v>
      </c>
      <c r="B1135" s="77">
        <v>23112</v>
      </c>
      <c r="C1135" s="77" t="s">
        <v>180</v>
      </c>
      <c r="D1135" s="77">
        <v>1.5</v>
      </c>
      <c r="E1135" s="77">
        <v>2</v>
      </c>
      <c r="F1135" s="79">
        <f t="shared" si="17"/>
        <v>1904.288</v>
      </c>
      <c r="J1135" s="78">
        <v>23110</v>
      </c>
      <c r="K1135" s="78" t="s">
        <v>170</v>
      </c>
      <c r="L1135" s="78">
        <v>3785.7640000000001</v>
      </c>
    </row>
    <row r="1136" spans="1:12">
      <c r="A1136" s="77">
        <v>86942</v>
      </c>
      <c r="B1136" s="77">
        <v>23113</v>
      </c>
      <c r="C1136" s="77" t="s">
        <v>180</v>
      </c>
      <c r="D1136" s="77">
        <v>1.8</v>
      </c>
      <c r="E1136" s="77">
        <v>3</v>
      </c>
      <c r="F1136" s="79">
        <f t="shared" si="17"/>
        <v>1144.6790000000001</v>
      </c>
      <c r="J1136" s="78">
        <v>23111</v>
      </c>
      <c r="K1136" s="78" t="s">
        <v>170</v>
      </c>
      <c r="L1136" s="78">
        <v>1192.4649999999999</v>
      </c>
    </row>
    <row r="1137" spans="1:12">
      <c r="A1137" s="77">
        <v>187937</v>
      </c>
      <c r="B1137" s="77">
        <v>23119</v>
      </c>
      <c r="C1137" s="77" t="s">
        <v>180</v>
      </c>
      <c r="D1137" s="77">
        <v>3</v>
      </c>
      <c r="E1137" s="77">
        <v>2</v>
      </c>
      <c r="F1137" s="79">
        <f t="shared" si="17"/>
        <v>1612.692</v>
      </c>
      <c r="J1137" s="78">
        <v>23112</v>
      </c>
      <c r="K1137" s="78" t="s">
        <v>173</v>
      </c>
      <c r="L1137" s="78">
        <v>1904.288</v>
      </c>
    </row>
    <row r="1138" spans="1:12">
      <c r="A1138" s="77">
        <v>133488</v>
      </c>
      <c r="B1138" s="77">
        <v>23122</v>
      </c>
      <c r="C1138" s="77" t="s">
        <v>180</v>
      </c>
      <c r="D1138" s="77">
        <v>4.2</v>
      </c>
      <c r="E1138" s="77">
        <v>2</v>
      </c>
      <c r="F1138" s="79">
        <f t="shared" si="17"/>
        <v>2079.9929999999999</v>
      </c>
      <c r="J1138" s="78">
        <v>23113</v>
      </c>
      <c r="K1138" s="78" t="s">
        <v>171</v>
      </c>
      <c r="L1138" s="78">
        <v>1144.6790000000001</v>
      </c>
    </row>
    <row r="1139" spans="1:12">
      <c r="A1139" s="77">
        <v>33975</v>
      </c>
      <c r="B1139" s="77">
        <v>23123</v>
      </c>
      <c r="C1139" s="77" t="s">
        <v>180</v>
      </c>
      <c r="D1139" s="77">
        <v>2</v>
      </c>
      <c r="E1139" s="77">
        <v>1</v>
      </c>
      <c r="F1139" s="79">
        <f t="shared" si="17"/>
        <v>2130.886</v>
      </c>
      <c r="J1139" s="78">
        <v>23119</v>
      </c>
      <c r="K1139" s="78" t="s">
        <v>172</v>
      </c>
      <c r="L1139" s="78">
        <v>1612.692</v>
      </c>
    </row>
    <row r="1140" spans="1:12">
      <c r="A1140" s="77">
        <v>207297</v>
      </c>
      <c r="B1140" s="77">
        <v>23138</v>
      </c>
      <c r="C1140" s="77" t="s">
        <v>180</v>
      </c>
      <c r="D1140" s="77">
        <v>1.75</v>
      </c>
      <c r="E1140" s="77">
        <v>1</v>
      </c>
      <c r="F1140" s="79">
        <f t="shared" si="17"/>
        <v>1904.288</v>
      </c>
      <c r="J1140" s="78">
        <v>23122</v>
      </c>
      <c r="K1140" s="78" t="s">
        <v>173</v>
      </c>
      <c r="L1140" s="78">
        <v>2079.9929999999999</v>
      </c>
    </row>
    <row r="1141" spans="1:12">
      <c r="A1141" s="77">
        <v>208782</v>
      </c>
      <c r="B1141" s="77">
        <v>23145</v>
      </c>
      <c r="C1141" s="77" t="s">
        <v>180</v>
      </c>
      <c r="D1141" s="77">
        <v>2.5</v>
      </c>
      <c r="E1141" s="77">
        <v>2</v>
      </c>
      <c r="F1141" s="79">
        <f t="shared" si="17"/>
        <v>3785.7640000000001</v>
      </c>
      <c r="J1141" s="78">
        <v>23123</v>
      </c>
      <c r="K1141" s="78" t="s">
        <v>171</v>
      </c>
      <c r="L1141" s="78">
        <v>2130.886</v>
      </c>
    </row>
    <row r="1142" spans="1:12">
      <c r="A1142" s="77">
        <v>37353</v>
      </c>
      <c r="B1142" s="77">
        <v>23151</v>
      </c>
      <c r="C1142" s="77" t="s">
        <v>180</v>
      </c>
      <c r="D1142" s="77">
        <v>1.5</v>
      </c>
      <c r="E1142" s="77">
        <v>2</v>
      </c>
      <c r="F1142" s="79">
        <f t="shared" si="17"/>
        <v>12271.31</v>
      </c>
      <c r="J1142" s="78">
        <v>23138</v>
      </c>
      <c r="K1142" s="78" t="s">
        <v>173</v>
      </c>
      <c r="L1142" s="78">
        <v>1904.288</v>
      </c>
    </row>
    <row r="1143" spans="1:12">
      <c r="A1143" s="77">
        <v>50490</v>
      </c>
      <c r="B1143" s="77">
        <v>23155</v>
      </c>
      <c r="C1143" s="77" t="s">
        <v>180</v>
      </c>
      <c r="D1143" s="77">
        <v>2</v>
      </c>
      <c r="E1143" s="77">
        <v>2</v>
      </c>
      <c r="F1143" s="79">
        <f t="shared" si="17"/>
        <v>2079.9929999999999</v>
      </c>
      <c r="J1143" s="78">
        <v>23145</v>
      </c>
      <c r="K1143" s="78" t="s">
        <v>170</v>
      </c>
      <c r="L1143" s="78">
        <v>3785.7640000000001</v>
      </c>
    </row>
    <row r="1144" spans="1:12">
      <c r="A1144" s="77">
        <v>80879</v>
      </c>
      <c r="B1144" s="77">
        <v>23178</v>
      </c>
      <c r="C1144" s="77" t="s">
        <v>180</v>
      </c>
      <c r="D1144" s="77">
        <v>1.25</v>
      </c>
      <c r="E1144" s="77">
        <v>2</v>
      </c>
      <c r="F1144" s="79">
        <f t="shared" si="17"/>
        <v>3785.7640000000001</v>
      </c>
      <c r="J1144" s="78">
        <v>23151</v>
      </c>
      <c r="K1144" s="78" t="s">
        <v>173</v>
      </c>
      <c r="L1144" s="78">
        <v>12271.31</v>
      </c>
    </row>
    <row r="1145" spans="1:12">
      <c r="A1145" s="77">
        <v>33686</v>
      </c>
      <c r="B1145" s="77">
        <v>23183</v>
      </c>
      <c r="C1145" s="77" t="s">
        <v>180</v>
      </c>
      <c r="D1145" s="77">
        <v>3.5</v>
      </c>
      <c r="E1145" s="77">
        <v>2</v>
      </c>
      <c r="F1145" s="79">
        <f t="shared" si="17"/>
        <v>3785.7640000000001</v>
      </c>
      <c r="J1145" s="78">
        <v>23155</v>
      </c>
      <c r="K1145" s="78" t="s">
        <v>173</v>
      </c>
      <c r="L1145" s="78">
        <v>2079.9929999999999</v>
      </c>
    </row>
    <row r="1146" spans="1:12">
      <c r="A1146" s="77">
        <v>132562</v>
      </c>
      <c r="B1146" s="77">
        <v>23185</v>
      </c>
      <c r="C1146" s="77" t="s">
        <v>180</v>
      </c>
      <c r="D1146" s="77">
        <v>2</v>
      </c>
      <c r="E1146" s="77">
        <v>2</v>
      </c>
      <c r="F1146" s="79">
        <f t="shared" si="17"/>
        <v>1144.6790000000001</v>
      </c>
      <c r="J1146" s="78">
        <v>23178</v>
      </c>
      <c r="K1146" s="78" t="s">
        <v>170</v>
      </c>
      <c r="L1146" s="78">
        <v>3785.7640000000001</v>
      </c>
    </row>
    <row r="1147" spans="1:12">
      <c r="A1147" s="77">
        <v>133328</v>
      </c>
      <c r="B1147" s="77">
        <v>23188</v>
      </c>
      <c r="C1147" s="77" t="s">
        <v>180</v>
      </c>
      <c r="D1147" s="77">
        <v>4.8</v>
      </c>
      <c r="E1147" s="77">
        <v>1</v>
      </c>
      <c r="F1147" s="79">
        <f t="shared" si="17"/>
        <v>2079.9929999999999</v>
      </c>
      <c r="J1147" s="78">
        <v>23183</v>
      </c>
      <c r="K1147" s="78" t="s">
        <v>170</v>
      </c>
      <c r="L1147" s="78">
        <v>3785.7640000000001</v>
      </c>
    </row>
    <row r="1148" spans="1:12">
      <c r="A1148" s="77">
        <v>91819</v>
      </c>
      <c r="B1148" s="77">
        <v>23192</v>
      </c>
      <c r="C1148" s="77" t="s">
        <v>180</v>
      </c>
      <c r="D1148" s="77">
        <v>1.75</v>
      </c>
      <c r="E1148" s="77">
        <v>3</v>
      </c>
      <c r="F1148" s="79">
        <f t="shared" si="17"/>
        <v>1904.288</v>
      </c>
      <c r="J1148" s="78">
        <v>23185</v>
      </c>
      <c r="K1148" s="78" t="s">
        <v>171</v>
      </c>
      <c r="L1148" s="78">
        <v>1144.6790000000001</v>
      </c>
    </row>
    <row r="1149" spans="1:12">
      <c r="A1149" s="77">
        <v>54535</v>
      </c>
      <c r="B1149" s="77">
        <v>23196</v>
      </c>
      <c r="C1149" s="77" t="s">
        <v>180</v>
      </c>
      <c r="D1149" s="77">
        <v>5</v>
      </c>
      <c r="E1149" s="77">
        <v>1</v>
      </c>
      <c r="F1149" s="79">
        <f t="shared" si="17"/>
        <v>2079.9929999999999</v>
      </c>
      <c r="J1149" s="78">
        <v>23188</v>
      </c>
      <c r="K1149" s="78" t="s">
        <v>173</v>
      </c>
      <c r="L1149" s="78">
        <v>2079.9929999999999</v>
      </c>
    </row>
    <row r="1150" spans="1:12">
      <c r="A1150" s="77">
        <v>176658</v>
      </c>
      <c r="B1150" s="77">
        <v>23211</v>
      </c>
      <c r="C1150" s="77" t="s">
        <v>180</v>
      </c>
      <c r="D1150" s="77">
        <v>2.5</v>
      </c>
      <c r="E1150" s="77">
        <v>1</v>
      </c>
      <c r="F1150" s="79">
        <f t="shared" si="17"/>
        <v>2130.886</v>
      </c>
      <c r="J1150" s="78">
        <v>23192</v>
      </c>
      <c r="K1150" s="78" t="s">
        <v>173</v>
      </c>
      <c r="L1150" s="78">
        <v>1904.288</v>
      </c>
    </row>
    <row r="1151" spans="1:12">
      <c r="A1151" s="77">
        <v>42591</v>
      </c>
      <c r="B1151" s="77">
        <v>23213</v>
      </c>
      <c r="C1151" s="77" t="s">
        <v>180</v>
      </c>
      <c r="D1151" s="77">
        <v>1.5</v>
      </c>
      <c r="E1151" s="77">
        <v>2</v>
      </c>
      <c r="F1151" s="79">
        <f t="shared" si="17"/>
        <v>2130.886</v>
      </c>
      <c r="J1151" s="78">
        <v>23196</v>
      </c>
      <c r="K1151" s="78" t="s">
        <v>173</v>
      </c>
      <c r="L1151" s="78">
        <v>2079.9929999999999</v>
      </c>
    </row>
    <row r="1152" spans="1:12">
      <c r="A1152" s="77">
        <v>209139</v>
      </c>
      <c r="B1152" s="77">
        <v>23233</v>
      </c>
      <c r="C1152" s="77" t="s">
        <v>180</v>
      </c>
      <c r="D1152" s="77">
        <v>1.5</v>
      </c>
      <c r="E1152" s="77">
        <v>1</v>
      </c>
      <c r="F1152" s="79">
        <f t="shared" si="17"/>
        <v>1904.288</v>
      </c>
      <c r="J1152" s="78">
        <v>23211</v>
      </c>
      <c r="K1152" s="78" t="s">
        <v>171</v>
      </c>
      <c r="L1152" s="78">
        <v>2130.886</v>
      </c>
    </row>
    <row r="1153" spans="1:12">
      <c r="A1153" s="77">
        <v>134513</v>
      </c>
      <c r="B1153" s="77">
        <v>23235</v>
      </c>
      <c r="C1153" s="77" t="s">
        <v>180</v>
      </c>
      <c r="D1153" s="77">
        <v>2</v>
      </c>
      <c r="E1153" s="77">
        <v>1</v>
      </c>
      <c r="F1153" s="79">
        <f t="shared" si="17"/>
        <v>1612.692</v>
      </c>
      <c r="J1153" s="78">
        <v>23213</v>
      </c>
      <c r="K1153" s="78" t="s">
        <v>171</v>
      </c>
      <c r="L1153" s="78">
        <v>2130.886</v>
      </c>
    </row>
    <row r="1154" spans="1:12">
      <c r="A1154" s="77">
        <v>57950</v>
      </c>
      <c r="B1154" s="77">
        <v>23241</v>
      </c>
      <c r="C1154" s="77" t="s">
        <v>180</v>
      </c>
      <c r="D1154" s="77">
        <v>2</v>
      </c>
      <c r="E1154" s="77">
        <v>2</v>
      </c>
      <c r="F1154" s="79">
        <f t="shared" si="17"/>
        <v>2079.9929999999999</v>
      </c>
      <c r="J1154" s="78">
        <v>23233</v>
      </c>
      <c r="K1154" s="78" t="s">
        <v>173</v>
      </c>
      <c r="L1154" s="78">
        <v>1904.288</v>
      </c>
    </row>
    <row r="1155" spans="1:12">
      <c r="A1155" s="77">
        <v>119262</v>
      </c>
      <c r="B1155" s="77">
        <v>23260</v>
      </c>
      <c r="C1155" s="77" t="s">
        <v>180</v>
      </c>
      <c r="D1155" s="77">
        <v>2.5</v>
      </c>
      <c r="E1155" s="77">
        <v>1</v>
      </c>
      <c r="F1155" s="79">
        <f t="shared" ref="F1155:F1218" si="18">VLOOKUP(B1155,$J$2:$L$1405,3,FALSE)</f>
        <v>1904.288</v>
      </c>
      <c r="J1155" s="78">
        <v>23235</v>
      </c>
      <c r="K1155" s="78" t="s">
        <v>172</v>
      </c>
      <c r="L1155" s="78">
        <v>1612.692</v>
      </c>
    </row>
    <row r="1156" spans="1:12">
      <c r="A1156" s="77">
        <v>190008</v>
      </c>
      <c r="B1156" s="77">
        <v>23262</v>
      </c>
      <c r="C1156" s="77" t="s">
        <v>180</v>
      </c>
      <c r="D1156" s="77">
        <v>2.75</v>
      </c>
      <c r="E1156" s="77">
        <v>1</v>
      </c>
      <c r="F1156" s="79">
        <f t="shared" si="18"/>
        <v>1612.692</v>
      </c>
      <c r="J1156" s="78">
        <v>23241</v>
      </c>
      <c r="K1156" s="78" t="s">
        <v>173</v>
      </c>
      <c r="L1156" s="78">
        <v>2079.9929999999999</v>
      </c>
    </row>
    <row r="1157" spans="1:12">
      <c r="A1157" s="77">
        <v>678471</v>
      </c>
      <c r="B1157" s="77">
        <v>23267</v>
      </c>
      <c r="C1157" s="77" t="s">
        <v>180</v>
      </c>
      <c r="D1157" s="77">
        <v>1</v>
      </c>
      <c r="E1157" s="77">
        <v>1</v>
      </c>
      <c r="F1157" s="79">
        <f t="shared" si="18"/>
        <v>8264.9449999999997</v>
      </c>
      <c r="J1157" s="78">
        <v>23260</v>
      </c>
      <c r="K1157" s="78" t="s">
        <v>173</v>
      </c>
      <c r="L1157" s="78">
        <v>1904.288</v>
      </c>
    </row>
    <row r="1158" spans="1:12">
      <c r="A1158" s="77">
        <v>123836</v>
      </c>
      <c r="B1158" s="77">
        <v>23274</v>
      </c>
      <c r="C1158" s="77" t="s">
        <v>180</v>
      </c>
      <c r="D1158" s="77">
        <v>1.9</v>
      </c>
      <c r="E1158" s="77">
        <v>2</v>
      </c>
      <c r="F1158" s="79">
        <f t="shared" si="18"/>
        <v>1144.6790000000001</v>
      </c>
      <c r="J1158" s="78">
        <v>23262</v>
      </c>
      <c r="K1158" s="78" t="s">
        <v>172</v>
      </c>
      <c r="L1158" s="78">
        <v>1612.692</v>
      </c>
    </row>
    <row r="1159" spans="1:12">
      <c r="A1159" s="77">
        <v>164961</v>
      </c>
      <c r="B1159" s="77">
        <v>23278</v>
      </c>
      <c r="C1159" s="77" t="s">
        <v>180</v>
      </c>
      <c r="D1159" s="77">
        <v>3</v>
      </c>
      <c r="E1159" s="77">
        <v>2</v>
      </c>
      <c r="F1159" s="79">
        <f t="shared" si="18"/>
        <v>1612.692</v>
      </c>
      <c r="J1159" s="78">
        <v>23267</v>
      </c>
      <c r="K1159" s="78" t="s">
        <v>172</v>
      </c>
      <c r="L1159" s="78">
        <v>8264.9449999999997</v>
      </c>
    </row>
    <row r="1160" spans="1:12">
      <c r="A1160" s="77">
        <v>144460</v>
      </c>
      <c r="B1160" s="77">
        <v>23282</v>
      </c>
      <c r="C1160" s="77" t="s">
        <v>180</v>
      </c>
      <c r="D1160" s="77">
        <v>2.5</v>
      </c>
      <c r="E1160" s="77">
        <v>2</v>
      </c>
      <c r="F1160" s="79">
        <f t="shared" si="18"/>
        <v>3785.7640000000001</v>
      </c>
      <c r="J1160" s="78">
        <v>23274</v>
      </c>
      <c r="K1160" s="78" t="s">
        <v>171</v>
      </c>
      <c r="L1160" s="78">
        <v>1144.6790000000001</v>
      </c>
    </row>
    <row r="1161" spans="1:12">
      <c r="A1161" s="77">
        <v>178597</v>
      </c>
      <c r="B1161" s="77">
        <v>23283</v>
      </c>
      <c r="C1161" s="77" t="s">
        <v>180</v>
      </c>
      <c r="D1161" s="77">
        <v>2.5</v>
      </c>
      <c r="E1161" s="77">
        <v>2</v>
      </c>
      <c r="F1161" s="79">
        <f t="shared" si="18"/>
        <v>1925.059</v>
      </c>
      <c r="J1161" s="78">
        <v>23278</v>
      </c>
      <c r="K1161" s="78" t="s">
        <v>172</v>
      </c>
      <c r="L1161" s="78">
        <v>1612.692</v>
      </c>
    </row>
    <row r="1162" spans="1:12">
      <c r="A1162" s="77">
        <v>677725</v>
      </c>
      <c r="B1162" s="77">
        <v>23284</v>
      </c>
      <c r="C1162" s="77" t="s">
        <v>180</v>
      </c>
      <c r="D1162" s="77">
        <v>2</v>
      </c>
      <c r="E1162" s="77">
        <v>1</v>
      </c>
      <c r="F1162" s="79">
        <f t="shared" si="18"/>
        <v>3785.7640000000001</v>
      </c>
      <c r="J1162" s="78">
        <v>23282</v>
      </c>
      <c r="K1162" s="78" t="s">
        <v>170</v>
      </c>
      <c r="L1162" s="78">
        <v>3785.7640000000001</v>
      </c>
    </row>
    <row r="1163" spans="1:12">
      <c r="A1163" s="77">
        <v>200837</v>
      </c>
      <c r="B1163" s="77">
        <v>23287</v>
      </c>
      <c r="C1163" s="77" t="s">
        <v>180</v>
      </c>
      <c r="D1163" s="77">
        <v>1.75</v>
      </c>
      <c r="E1163" s="77">
        <v>2</v>
      </c>
      <c r="F1163" s="79">
        <f t="shared" si="18"/>
        <v>1612.692</v>
      </c>
      <c r="J1163" s="78">
        <v>23283</v>
      </c>
      <c r="K1163" s="78" t="s">
        <v>172</v>
      </c>
      <c r="L1163" s="78">
        <v>1925.059</v>
      </c>
    </row>
    <row r="1164" spans="1:12">
      <c r="A1164" s="77">
        <v>209263</v>
      </c>
      <c r="B1164" s="77">
        <v>23294</v>
      </c>
      <c r="C1164" s="77" t="s">
        <v>180</v>
      </c>
      <c r="D1164" s="77">
        <v>1.5</v>
      </c>
      <c r="E1164" s="77">
        <v>1</v>
      </c>
      <c r="F1164" s="79">
        <f t="shared" si="18"/>
        <v>1904.288</v>
      </c>
      <c r="J1164" s="78">
        <v>23284</v>
      </c>
      <c r="K1164" s="78" t="s">
        <v>170</v>
      </c>
      <c r="L1164" s="78">
        <v>3785.7640000000001</v>
      </c>
    </row>
    <row r="1165" spans="1:12">
      <c r="A1165" s="77">
        <v>194496</v>
      </c>
      <c r="B1165" s="77">
        <v>23300</v>
      </c>
      <c r="C1165" s="77" t="s">
        <v>180</v>
      </c>
      <c r="D1165" s="77">
        <v>2</v>
      </c>
      <c r="E1165" s="77">
        <v>2</v>
      </c>
      <c r="F1165" s="79">
        <f t="shared" si="18"/>
        <v>1925.059</v>
      </c>
      <c r="J1165" s="78">
        <v>23287</v>
      </c>
      <c r="K1165" s="78" t="s">
        <v>172</v>
      </c>
      <c r="L1165" s="78">
        <v>1612.692</v>
      </c>
    </row>
    <row r="1166" spans="1:12">
      <c r="A1166" s="77">
        <v>162383</v>
      </c>
      <c r="B1166" s="77">
        <v>23314</v>
      </c>
      <c r="C1166" s="77" t="s">
        <v>180</v>
      </c>
      <c r="D1166" s="77">
        <v>2.5</v>
      </c>
      <c r="E1166" s="77">
        <v>3</v>
      </c>
      <c r="F1166" s="79">
        <f t="shared" si="18"/>
        <v>2130.886</v>
      </c>
      <c r="J1166" s="78">
        <v>23294</v>
      </c>
      <c r="K1166" s="78" t="s">
        <v>173</v>
      </c>
      <c r="L1166" s="78">
        <v>1904.288</v>
      </c>
    </row>
    <row r="1167" spans="1:12">
      <c r="A1167" s="77">
        <v>103568</v>
      </c>
      <c r="B1167" s="77">
        <v>23318</v>
      </c>
      <c r="C1167" s="77" t="s">
        <v>180</v>
      </c>
      <c r="D1167" s="77">
        <v>1.8</v>
      </c>
      <c r="E1167" s="77">
        <v>1</v>
      </c>
      <c r="F1167" s="79">
        <f t="shared" si="18"/>
        <v>1144.6790000000001</v>
      </c>
      <c r="J1167" s="78">
        <v>23300</v>
      </c>
      <c r="K1167" s="78" t="s">
        <v>172</v>
      </c>
      <c r="L1167" s="78">
        <v>1925.059</v>
      </c>
    </row>
    <row r="1168" spans="1:12">
      <c r="A1168" s="77">
        <v>189026</v>
      </c>
      <c r="B1168" s="77">
        <v>23335</v>
      </c>
      <c r="C1168" s="77" t="s">
        <v>180</v>
      </c>
      <c r="D1168" s="77">
        <v>3</v>
      </c>
      <c r="E1168" s="77">
        <v>3</v>
      </c>
      <c r="F1168" s="79">
        <f t="shared" si="18"/>
        <v>1192.4649999999999</v>
      </c>
      <c r="J1168" s="78">
        <v>23314</v>
      </c>
      <c r="K1168" s="78" t="s">
        <v>171</v>
      </c>
      <c r="L1168" s="78">
        <v>2130.886</v>
      </c>
    </row>
    <row r="1169" spans="1:12">
      <c r="A1169" s="77">
        <v>101280</v>
      </c>
      <c r="B1169" s="77">
        <v>23345</v>
      </c>
      <c r="C1169" s="77" t="s">
        <v>180</v>
      </c>
      <c r="D1169" s="77">
        <v>3</v>
      </c>
      <c r="E1169" s="77">
        <v>2</v>
      </c>
      <c r="F1169" s="79">
        <f t="shared" si="18"/>
        <v>2079.9929999999999</v>
      </c>
      <c r="J1169" s="78">
        <v>23318</v>
      </c>
      <c r="K1169" s="78" t="s">
        <v>171</v>
      </c>
      <c r="L1169" s="78">
        <v>1144.6790000000001</v>
      </c>
    </row>
    <row r="1170" spans="1:12">
      <c r="A1170" s="77">
        <v>177097</v>
      </c>
      <c r="B1170" s="77">
        <v>23355</v>
      </c>
      <c r="C1170" s="77" t="s">
        <v>180</v>
      </c>
      <c r="D1170" s="77">
        <v>2</v>
      </c>
      <c r="E1170" s="77">
        <v>2</v>
      </c>
      <c r="F1170" s="79">
        <f t="shared" si="18"/>
        <v>1192.4649999999999</v>
      </c>
      <c r="J1170" s="78">
        <v>23335</v>
      </c>
      <c r="K1170" s="78" t="s">
        <v>170</v>
      </c>
      <c r="L1170" s="78">
        <v>1192.4649999999999</v>
      </c>
    </row>
    <row r="1171" spans="1:12">
      <c r="A1171" s="77">
        <v>158880</v>
      </c>
      <c r="B1171" s="77">
        <v>23358</v>
      </c>
      <c r="C1171" s="77" t="s">
        <v>180</v>
      </c>
      <c r="D1171" s="77">
        <v>2.5</v>
      </c>
      <c r="E1171" s="77">
        <v>2</v>
      </c>
      <c r="F1171" s="79">
        <f t="shared" si="18"/>
        <v>2130.886</v>
      </c>
      <c r="J1171" s="78">
        <v>23345</v>
      </c>
      <c r="K1171" s="78" t="s">
        <v>173</v>
      </c>
      <c r="L1171" s="78">
        <v>2079.9929999999999</v>
      </c>
    </row>
    <row r="1172" spans="1:12">
      <c r="A1172" s="77">
        <v>210048</v>
      </c>
      <c r="B1172" s="77">
        <v>23366</v>
      </c>
      <c r="C1172" s="77" t="s">
        <v>180</v>
      </c>
      <c r="D1172" s="77">
        <v>2</v>
      </c>
      <c r="E1172" s="77">
        <v>3</v>
      </c>
      <c r="F1172" s="79">
        <f t="shared" si="18"/>
        <v>1925.059</v>
      </c>
      <c r="J1172" s="78">
        <v>23355</v>
      </c>
      <c r="K1172" s="78" t="s">
        <v>170</v>
      </c>
      <c r="L1172" s="78">
        <v>1192.4649999999999</v>
      </c>
    </row>
    <row r="1173" spans="1:12">
      <c r="A1173" s="77">
        <v>239393</v>
      </c>
      <c r="B1173" s="77">
        <v>23368</v>
      </c>
      <c r="C1173" s="77" t="s">
        <v>180</v>
      </c>
      <c r="D1173" s="77">
        <v>1.9</v>
      </c>
      <c r="E1173" s="77">
        <v>2</v>
      </c>
      <c r="F1173" s="79">
        <f t="shared" si="18"/>
        <v>1612.692</v>
      </c>
      <c r="J1173" s="78">
        <v>23358</v>
      </c>
      <c r="K1173" s="78" t="s">
        <v>171</v>
      </c>
      <c r="L1173" s="78">
        <v>2130.886</v>
      </c>
    </row>
    <row r="1174" spans="1:12">
      <c r="A1174" s="77">
        <v>689563</v>
      </c>
      <c r="B1174" s="77">
        <v>23379</v>
      </c>
      <c r="C1174" s="77" t="s">
        <v>180</v>
      </c>
      <c r="D1174" s="77">
        <v>2</v>
      </c>
      <c r="E1174" s="77">
        <v>1</v>
      </c>
      <c r="F1174" s="79">
        <f t="shared" si="18"/>
        <v>12271.31</v>
      </c>
      <c r="J1174" s="78">
        <v>23366</v>
      </c>
      <c r="K1174" s="78" t="s">
        <v>172</v>
      </c>
      <c r="L1174" s="78">
        <v>1925.059</v>
      </c>
    </row>
    <row r="1175" spans="1:12">
      <c r="A1175" s="77">
        <v>151574</v>
      </c>
      <c r="B1175" s="77">
        <v>23380</v>
      </c>
      <c r="C1175" s="77" t="s">
        <v>180</v>
      </c>
      <c r="D1175" s="77">
        <v>2.5</v>
      </c>
      <c r="E1175" s="77">
        <v>1</v>
      </c>
      <c r="F1175" s="79">
        <f t="shared" si="18"/>
        <v>3785.7640000000001</v>
      </c>
      <c r="J1175" s="78">
        <v>23368</v>
      </c>
      <c r="K1175" s="78" t="s">
        <v>172</v>
      </c>
      <c r="L1175" s="78">
        <v>1612.692</v>
      </c>
    </row>
    <row r="1176" spans="1:12">
      <c r="A1176" s="77">
        <v>224219</v>
      </c>
      <c r="B1176" s="77">
        <v>23381</v>
      </c>
      <c r="C1176" s="77" t="s">
        <v>180</v>
      </c>
      <c r="D1176" s="77">
        <v>4</v>
      </c>
      <c r="E1176" s="77">
        <v>2</v>
      </c>
      <c r="F1176" s="79">
        <f t="shared" si="18"/>
        <v>2079.9929999999999</v>
      </c>
      <c r="J1176" s="78">
        <v>23379</v>
      </c>
      <c r="K1176" s="78" t="s">
        <v>173</v>
      </c>
      <c r="L1176" s="78">
        <v>12271.31</v>
      </c>
    </row>
    <row r="1177" spans="1:12">
      <c r="A1177" s="77">
        <v>724892</v>
      </c>
      <c r="B1177" s="77">
        <v>23384</v>
      </c>
      <c r="C1177" s="77" t="s">
        <v>180</v>
      </c>
      <c r="D1177" s="77">
        <v>2</v>
      </c>
      <c r="E1177" s="77">
        <v>1</v>
      </c>
      <c r="F1177" s="79">
        <f t="shared" si="18"/>
        <v>8264.9449999999997</v>
      </c>
      <c r="J1177" s="78">
        <v>23380</v>
      </c>
      <c r="K1177" s="78" t="s">
        <v>170</v>
      </c>
      <c r="L1177" s="78">
        <v>3785.7640000000001</v>
      </c>
    </row>
    <row r="1178" spans="1:12">
      <c r="A1178" s="77">
        <v>176112</v>
      </c>
      <c r="B1178" s="77">
        <v>23387</v>
      </c>
      <c r="C1178" s="77" t="s">
        <v>180</v>
      </c>
      <c r="D1178" s="77">
        <v>2</v>
      </c>
      <c r="E1178" s="77">
        <v>2</v>
      </c>
      <c r="F1178" s="79">
        <f t="shared" si="18"/>
        <v>1144.6790000000001</v>
      </c>
      <c r="J1178" s="78">
        <v>23381</v>
      </c>
      <c r="K1178" s="78" t="s">
        <v>173</v>
      </c>
      <c r="L1178" s="78">
        <v>2079.9929999999999</v>
      </c>
    </row>
    <row r="1179" spans="1:12">
      <c r="A1179" s="77">
        <v>77854</v>
      </c>
      <c r="B1179" s="77">
        <v>23390</v>
      </c>
      <c r="C1179" s="77" t="s">
        <v>180</v>
      </c>
      <c r="D1179" s="77">
        <v>2.4</v>
      </c>
      <c r="E1179" s="77">
        <v>1</v>
      </c>
      <c r="F1179" s="79">
        <f t="shared" si="18"/>
        <v>2130.886</v>
      </c>
      <c r="J1179" s="78">
        <v>23384</v>
      </c>
      <c r="K1179" s="78" t="s">
        <v>172</v>
      </c>
      <c r="L1179" s="78">
        <v>8264.9449999999997</v>
      </c>
    </row>
    <row r="1180" spans="1:12">
      <c r="A1180" s="77">
        <v>131493</v>
      </c>
      <c r="B1180" s="77">
        <v>23391</v>
      </c>
      <c r="C1180" s="77" t="s">
        <v>180</v>
      </c>
      <c r="D1180" s="77">
        <v>2.5</v>
      </c>
      <c r="E1180" s="77">
        <v>1</v>
      </c>
      <c r="F1180" s="79">
        <f t="shared" si="18"/>
        <v>1612.692</v>
      </c>
      <c r="J1180" s="78">
        <v>23387</v>
      </c>
      <c r="K1180" s="78" t="s">
        <v>171</v>
      </c>
      <c r="L1180" s="78">
        <v>1144.6790000000001</v>
      </c>
    </row>
    <row r="1181" spans="1:12">
      <c r="A1181" s="77">
        <v>180878</v>
      </c>
      <c r="B1181" s="77">
        <v>23392</v>
      </c>
      <c r="C1181" s="77" t="s">
        <v>180</v>
      </c>
      <c r="D1181" s="77">
        <v>1.5</v>
      </c>
      <c r="E1181" s="77">
        <v>3</v>
      </c>
      <c r="F1181" s="79">
        <f t="shared" si="18"/>
        <v>1925.059</v>
      </c>
      <c r="J1181" s="78">
        <v>23390</v>
      </c>
      <c r="K1181" s="78" t="s">
        <v>171</v>
      </c>
      <c r="L1181" s="78">
        <v>2130.886</v>
      </c>
    </row>
    <row r="1182" spans="1:12">
      <c r="A1182" s="77">
        <v>106527</v>
      </c>
      <c r="B1182" s="77">
        <v>23400</v>
      </c>
      <c r="C1182" s="77" t="s">
        <v>180</v>
      </c>
      <c r="D1182" s="77">
        <v>2</v>
      </c>
      <c r="E1182" s="77">
        <v>1</v>
      </c>
      <c r="F1182" s="79">
        <f t="shared" si="18"/>
        <v>3785.7640000000001</v>
      </c>
      <c r="J1182" s="78">
        <v>23391</v>
      </c>
      <c r="K1182" s="78" t="s">
        <v>172</v>
      </c>
      <c r="L1182" s="78">
        <v>1612.692</v>
      </c>
    </row>
    <row r="1183" spans="1:12">
      <c r="A1183" s="77">
        <v>166044</v>
      </c>
      <c r="B1183" s="77">
        <v>23403</v>
      </c>
      <c r="C1183" s="77" t="s">
        <v>180</v>
      </c>
      <c r="D1183" s="77">
        <v>2</v>
      </c>
      <c r="E1183" s="77">
        <v>1</v>
      </c>
      <c r="F1183" s="79">
        <f t="shared" si="18"/>
        <v>3785.7640000000001</v>
      </c>
      <c r="J1183" s="78">
        <v>23392</v>
      </c>
      <c r="K1183" s="78" t="s">
        <v>172</v>
      </c>
      <c r="L1183" s="78">
        <v>1925.059</v>
      </c>
    </row>
    <row r="1184" spans="1:12">
      <c r="A1184" s="77">
        <v>78305</v>
      </c>
      <c r="B1184" s="77">
        <v>23408</v>
      </c>
      <c r="C1184" s="77" t="s">
        <v>180</v>
      </c>
      <c r="D1184" s="77">
        <v>3</v>
      </c>
      <c r="E1184" s="77">
        <v>2</v>
      </c>
      <c r="F1184" s="79">
        <f t="shared" si="18"/>
        <v>3785.7640000000001</v>
      </c>
      <c r="J1184" s="78">
        <v>23400</v>
      </c>
      <c r="K1184" s="78" t="s">
        <v>170</v>
      </c>
      <c r="L1184" s="78">
        <v>3785.7640000000001</v>
      </c>
    </row>
    <row r="1185" spans="1:12">
      <c r="A1185" s="77">
        <v>231749</v>
      </c>
      <c r="B1185" s="77">
        <v>23414</v>
      </c>
      <c r="C1185" s="77" t="s">
        <v>180</v>
      </c>
      <c r="D1185" s="77">
        <v>4.5</v>
      </c>
      <c r="E1185" s="77">
        <v>2</v>
      </c>
      <c r="F1185" s="79">
        <f t="shared" si="18"/>
        <v>2079.9929999999999</v>
      </c>
      <c r="J1185" s="78">
        <v>23403</v>
      </c>
      <c r="K1185" s="78" t="s">
        <v>170</v>
      </c>
      <c r="L1185" s="78">
        <v>3785.7640000000001</v>
      </c>
    </row>
    <row r="1186" spans="1:12">
      <c r="A1186" s="77">
        <v>106711</v>
      </c>
      <c r="B1186" s="77">
        <v>23424</v>
      </c>
      <c r="C1186" s="77" t="s">
        <v>180</v>
      </c>
      <c r="D1186" s="77">
        <v>2.5</v>
      </c>
      <c r="E1186" s="77">
        <v>2</v>
      </c>
      <c r="F1186" s="79">
        <f t="shared" si="18"/>
        <v>3785.7640000000001</v>
      </c>
      <c r="J1186" s="78">
        <v>23408</v>
      </c>
      <c r="K1186" s="78" t="s">
        <v>170</v>
      </c>
      <c r="L1186" s="78">
        <v>3785.7640000000001</v>
      </c>
    </row>
    <row r="1187" spans="1:12">
      <c r="A1187" s="77">
        <v>202725</v>
      </c>
      <c r="B1187" s="77">
        <v>23427</v>
      </c>
      <c r="C1187" s="77" t="s">
        <v>180</v>
      </c>
      <c r="D1187" s="77">
        <v>3</v>
      </c>
      <c r="E1187" s="77">
        <v>1</v>
      </c>
      <c r="F1187" s="79">
        <f t="shared" si="18"/>
        <v>2130.886</v>
      </c>
      <c r="J1187" s="78">
        <v>23414</v>
      </c>
      <c r="K1187" s="78" t="s">
        <v>173</v>
      </c>
      <c r="L1187" s="78">
        <v>2079.9929999999999</v>
      </c>
    </row>
    <row r="1188" spans="1:12">
      <c r="A1188" s="77">
        <v>97702</v>
      </c>
      <c r="B1188" s="77">
        <v>23428</v>
      </c>
      <c r="C1188" s="77" t="s">
        <v>180</v>
      </c>
      <c r="D1188" s="77">
        <v>2</v>
      </c>
      <c r="E1188" s="77">
        <v>3</v>
      </c>
      <c r="F1188" s="79">
        <f t="shared" si="18"/>
        <v>12271.31</v>
      </c>
      <c r="J1188" s="78">
        <v>23424</v>
      </c>
      <c r="K1188" s="78" t="s">
        <v>170</v>
      </c>
      <c r="L1188" s="78">
        <v>3785.7640000000001</v>
      </c>
    </row>
    <row r="1189" spans="1:12">
      <c r="A1189" s="77">
        <v>122842</v>
      </c>
      <c r="B1189" s="77">
        <v>23439</v>
      </c>
      <c r="C1189" s="77" t="s">
        <v>180</v>
      </c>
      <c r="D1189" s="77">
        <v>3.25</v>
      </c>
      <c r="E1189" s="77">
        <v>1</v>
      </c>
      <c r="F1189" s="79">
        <f t="shared" si="18"/>
        <v>1925.059</v>
      </c>
      <c r="J1189" s="78">
        <v>23427</v>
      </c>
      <c r="K1189" s="78" t="s">
        <v>171</v>
      </c>
      <c r="L1189" s="78">
        <v>2130.886</v>
      </c>
    </row>
    <row r="1190" spans="1:12">
      <c r="A1190" s="77">
        <v>205517</v>
      </c>
      <c r="B1190" s="77">
        <v>23440</v>
      </c>
      <c r="C1190" s="77" t="s">
        <v>180</v>
      </c>
      <c r="D1190" s="77">
        <v>2</v>
      </c>
      <c r="E1190" s="77">
        <v>1</v>
      </c>
      <c r="F1190" s="79">
        <f t="shared" si="18"/>
        <v>1904.288</v>
      </c>
      <c r="J1190" s="78">
        <v>23428</v>
      </c>
      <c r="K1190" s="78" t="s">
        <v>173</v>
      </c>
      <c r="L1190" s="78">
        <v>12271.31</v>
      </c>
    </row>
    <row r="1191" spans="1:12">
      <c r="A1191" s="77">
        <v>216353</v>
      </c>
      <c r="B1191" s="77">
        <v>23444</v>
      </c>
      <c r="C1191" s="77" t="s">
        <v>180</v>
      </c>
      <c r="D1191" s="77">
        <v>4</v>
      </c>
      <c r="E1191" s="77">
        <v>2</v>
      </c>
      <c r="F1191" s="79">
        <f t="shared" si="18"/>
        <v>2079.9929999999999</v>
      </c>
      <c r="J1191" s="78">
        <v>23439</v>
      </c>
      <c r="K1191" s="78" t="s">
        <v>172</v>
      </c>
      <c r="L1191" s="78">
        <v>1925.059</v>
      </c>
    </row>
    <row r="1192" spans="1:12">
      <c r="A1192" s="77">
        <v>231854</v>
      </c>
      <c r="B1192" s="77">
        <v>23446</v>
      </c>
      <c r="C1192" s="77" t="s">
        <v>180</v>
      </c>
      <c r="D1192" s="77">
        <v>2.2000000000000002</v>
      </c>
      <c r="E1192" s="77">
        <v>1</v>
      </c>
      <c r="F1192" s="79">
        <f t="shared" si="18"/>
        <v>2079.9929999999999</v>
      </c>
      <c r="J1192" s="78">
        <v>23440</v>
      </c>
      <c r="K1192" s="78" t="s">
        <v>173</v>
      </c>
      <c r="L1192" s="78">
        <v>1904.288</v>
      </c>
    </row>
    <row r="1193" spans="1:12">
      <c r="A1193" s="77">
        <v>141640</v>
      </c>
      <c r="B1193" s="77">
        <v>23449</v>
      </c>
      <c r="C1193" s="77" t="s">
        <v>180</v>
      </c>
      <c r="D1193" s="77">
        <v>1.5</v>
      </c>
      <c r="E1193" s="77">
        <v>1</v>
      </c>
      <c r="F1193" s="79">
        <f t="shared" si="18"/>
        <v>8264.9449999999997</v>
      </c>
      <c r="J1193" s="78">
        <v>23444</v>
      </c>
      <c r="K1193" s="78" t="s">
        <v>173</v>
      </c>
      <c r="L1193" s="78">
        <v>2079.9929999999999</v>
      </c>
    </row>
    <row r="1194" spans="1:12">
      <c r="A1194" s="77">
        <v>180545</v>
      </c>
      <c r="B1194" s="77">
        <v>23465</v>
      </c>
      <c r="C1194" s="77" t="s">
        <v>180</v>
      </c>
      <c r="D1194" s="77">
        <v>1.5</v>
      </c>
      <c r="E1194" s="77">
        <v>2</v>
      </c>
      <c r="F1194" s="79">
        <f t="shared" si="18"/>
        <v>1925.059</v>
      </c>
      <c r="J1194" s="78">
        <v>23446</v>
      </c>
      <c r="K1194" s="78" t="s">
        <v>173</v>
      </c>
      <c r="L1194" s="78">
        <v>2079.9929999999999</v>
      </c>
    </row>
    <row r="1195" spans="1:12">
      <c r="A1195" s="77">
        <v>154061</v>
      </c>
      <c r="B1195" s="77">
        <v>23480</v>
      </c>
      <c r="C1195" s="77" t="s">
        <v>180</v>
      </c>
      <c r="D1195" s="77">
        <v>4</v>
      </c>
      <c r="E1195" s="77">
        <v>2</v>
      </c>
      <c r="F1195" s="79">
        <f t="shared" si="18"/>
        <v>1612.692</v>
      </c>
      <c r="J1195" s="78">
        <v>23449</v>
      </c>
      <c r="K1195" s="78" t="s">
        <v>172</v>
      </c>
      <c r="L1195" s="78">
        <v>8264.9449999999997</v>
      </c>
    </row>
    <row r="1196" spans="1:12">
      <c r="A1196" s="77">
        <v>52764</v>
      </c>
      <c r="B1196" s="77">
        <v>23482</v>
      </c>
      <c r="C1196" s="77" t="s">
        <v>180</v>
      </c>
      <c r="D1196" s="77">
        <v>1.5</v>
      </c>
      <c r="E1196" s="77">
        <v>1</v>
      </c>
      <c r="F1196" s="79">
        <f t="shared" si="18"/>
        <v>2079.9929999999999</v>
      </c>
      <c r="J1196" s="78">
        <v>23465</v>
      </c>
      <c r="K1196" s="78" t="s">
        <v>172</v>
      </c>
      <c r="L1196" s="78">
        <v>1925.059</v>
      </c>
    </row>
    <row r="1197" spans="1:12">
      <c r="A1197" s="77">
        <v>175460</v>
      </c>
      <c r="B1197" s="77">
        <v>23486</v>
      </c>
      <c r="C1197" s="77" t="s">
        <v>180</v>
      </c>
      <c r="D1197" s="77">
        <v>2</v>
      </c>
      <c r="E1197" s="77">
        <v>1</v>
      </c>
      <c r="F1197" s="79">
        <f t="shared" si="18"/>
        <v>1612.692</v>
      </c>
      <c r="J1197" s="78">
        <v>23480</v>
      </c>
      <c r="K1197" s="78" t="s">
        <v>172</v>
      </c>
      <c r="L1197" s="78">
        <v>1612.692</v>
      </c>
    </row>
    <row r="1198" spans="1:12">
      <c r="A1198" s="77">
        <v>183336</v>
      </c>
      <c r="B1198" s="77">
        <v>23489</v>
      </c>
      <c r="C1198" s="77" t="s">
        <v>180</v>
      </c>
      <c r="D1198" s="77">
        <v>2.75</v>
      </c>
      <c r="E1198" s="77">
        <v>2</v>
      </c>
      <c r="F1198" s="79">
        <f t="shared" si="18"/>
        <v>3785.7640000000001</v>
      </c>
      <c r="J1198" s="78">
        <v>23482</v>
      </c>
      <c r="K1198" s="78" t="s">
        <v>173</v>
      </c>
      <c r="L1198" s="78">
        <v>2079.9929999999999</v>
      </c>
    </row>
    <row r="1199" spans="1:12">
      <c r="A1199" s="77">
        <v>55136</v>
      </c>
      <c r="B1199" s="77">
        <v>23501</v>
      </c>
      <c r="C1199" s="77" t="s">
        <v>180</v>
      </c>
      <c r="D1199" s="77">
        <v>1.5</v>
      </c>
      <c r="E1199" s="77">
        <v>2</v>
      </c>
      <c r="F1199" s="79">
        <f t="shared" si="18"/>
        <v>2079.9929999999999</v>
      </c>
      <c r="J1199" s="78">
        <v>23486</v>
      </c>
      <c r="K1199" s="78" t="s">
        <v>172</v>
      </c>
      <c r="L1199" s="78">
        <v>1612.692</v>
      </c>
    </row>
    <row r="1200" spans="1:12">
      <c r="A1200" s="77">
        <v>95719</v>
      </c>
      <c r="B1200" s="77">
        <v>23502</v>
      </c>
      <c r="C1200" s="77" t="s">
        <v>180</v>
      </c>
      <c r="D1200" s="77">
        <v>1.7</v>
      </c>
      <c r="E1200" s="77">
        <v>2</v>
      </c>
      <c r="F1200" s="79">
        <f t="shared" si="18"/>
        <v>1144.6790000000001</v>
      </c>
      <c r="J1200" s="78">
        <v>23489</v>
      </c>
      <c r="K1200" s="78" t="s">
        <v>170</v>
      </c>
      <c r="L1200" s="78">
        <v>3785.7640000000001</v>
      </c>
    </row>
    <row r="1201" spans="1:12">
      <c r="A1201" s="77">
        <v>140764</v>
      </c>
      <c r="B1201" s="77">
        <v>23504</v>
      </c>
      <c r="C1201" s="77" t="s">
        <v>180</v>
      </c>
      <c r="D1201" s="77">
        <v>2</v>
      </c>
      <c r="E1201" s="77">
        <v>2</v>
      </c>
      <c r="F1201" s="79">
        <f t="shared" si="18"/>
        <v>1612.692</v>
      </c>
      <c r="J1201" s="78">
        <v>23501</v>
      </c>
      <c r="K1201" s="78" t="s">
        <v>173</v>
      </c>
      <c r="L1201" s="78">
        <v>2079.9929999999999</v>
      </c>
    </row>
    <row r="1202" spans="1:12">
      <c r="A1202" s="77">
        <v>209957</v>
      </c>
      <c r="B1202" s="77">
        <v>23511</v>
      </c>
      <c r="C1202" s="77" t="s">
        <v>180</v>
      </c>
      <c r="D1202" s="77">
        <v>2.5</v>
      </c>
      <c r="E1202" s="77">
        <v>1</v>
      </c>
      <c r="F1202" s="79">
        <f t="shared" si="18"/>
        <v>3785.7640000000001</v>
      </c>
      <c r="J1202" s="78">
        <v>23502</v>
      </c>
      <c r="K1202" s="78" t="s">
        <v>171</v>
      </c>
      <c r="L1202" s="78">
        <v>1144.6790000000001</v>
      </c>
    </row>
    <row r="1203" spans="1:12">
      <c r="A1203" s="77">
        <v>187328</v>
      </c>
      <c r="B1203" s="77">
        <v>23526</v>
      </c>
      <c r="C1203" s="77" t="s">
        <v>180</v>
      </c>
      <c r="D1203" s="77">
        <v>1.5</v>
      </c>
      <c r="E1203" s="77">
        <v>1</v>
      </c>
      <c r="F1203" s="79">
        <f t="shared" si="18"/>
        <v>1925.059</v>
      </c>
      <c r="J1203" s="78">
        <v>23504</v>
      </c>
      <c r="K1203" s="78" t="s">
        <v>172</v>
      </c>
      <c r="L1203" s="78">
        <v>1612.692</v>
      </c>
    </row>
    <row r="1204" spans="1:12">
      <c r="A1204" s="77">
        <v>168735</v>
      </c>
      <c r="B1204" s="77">
        <v>23538</v>
      </c>
      <c r="C1204" s="77" t="s">
        <v>180</v>
      </c>
      <c r="D1204" s="77">
        <v>2</v>
      </c>
      <c r="E1204" s="77">
        <v>2</v>
      </c>
      <c r="F1204" s="79">
        <f t="shared" si="18"/>
        <v>4360.1880000000001</v>
      </c>
      <c r="J1204" s="78">
        <v>23511</v>
      </c>
      <c r="K1204" s="78" t="s">
        <v>170</v>
      </c>
      <c r="L1204" s="78">
        <v>3785.7640000000001</v>
      </c>
    </row>
    <row r="1205" spans="1:12">
      <c r="A1205" s="77">
        <v>121839</v>
      </c>
      <c r="B1205" s="77">
        <v>23539</v>
      </c>
      <c r="C1205" s="77" t="s">
        <v>180</v>
      </c>
      <c r="D1205" s="77">
        <v>2.1</v>
      </c>
      <c r="E1205" s="77">
        <v>2</v>
      </c>
      <c r="F1205" s="79">
        <f t="shared" si="18"/>
        <v>2079.9929999999999</v>
      </c>
      <c r="J1205" s="78">
        <v>23526</v>
      </c>
      <c r="K1205" s="78" t="s">
        <v>172</v>
      </c>
      <c r="L1205" s="78">
        <v>1925.059</v>
      </c>
    </row>
    <row r="1206" spans="1:12">
      <c r="A1206" s="77">
        <v>171366</v>
      </c>
      <c r="B1206" s="77">
        <v>23544</v>
      </c>
      <c r="C1206" s="77" t="s">
        <v>180</v>
      </c>
      <c r="D1206" s="77">
        <v>2.5</v>
      </c>
      <c r="E1206" s="77">
        <v>2</v>
      </c>
      <c r="F1206" s="79">
        <f t="shared" si="18"/>
        <v>1192.4649999999999</v>
      </c>
      <c r="J1206" s="78">
        <v>23538</v>
      </c>
      <c r="K1206" s="78" t="s">
        <v>173</v>
      </c>
      <c r="L1206" s="78">
        <v>4360.1880000000001</v>
      </c>
    </row>
    <row r="1207" spans="1:12">
      <c r="A1207" s="77">
        <v>130394</v>
      </c>
      <c r="B1207" s="77">
        <v>23545</v>
      </c>
      <c r="C1207" s="77" t="s">
        <v>180</v>
      </c>
      <c r="D1207" s="77">
        <v>1.5</v>
      </c>
      <c r="E1207" s="77">
        <v>2</v>
      </c>
      <c r="F1207" s="79">
        <f t="shared" si="18"/>
        <v>1612.692</v>
      </c>
      <c r="J1207" s="78">
        <v>23539</v>
      </c>
      <c r="K1207" s="78" t="s">
        <v>173</v>
      </c>
      <c r="L1207" s="78">
        <v>2079.9929999999999</v>
      </c>
    </row>
    <row r="1208" spans="1:12">
      <c r="A1208" s="77">
        <v>73678</v>
      </c>
      <c r="B1208" s="77">
        <v>23546</v>
      </c>
      <c r="C1208" s="77" t="s">
        <v>180</v>
      </c>
      <c r="D1208" s="77">
        <v>2</v>
      </c>
      <c r="E1208" s="77">
        <v>1</v>
      </c>
      <c r="F1208" s="79">
        <f t="shared" si="18"/>
        <v>2079.9929999999999</v>
      </c>
      <c r="J1208" s="78">
        <v>23544</v>
      </c>
      <c r="K1208" s="78" t="s">
        <v>170</v>
      </c>
      <c r="L1208" s="78">
        <v>1192.4649999999999</v>
      </c>
    </row>
    <row r="1209" spans="1:12">
      <c r="A1209" s="77">
        <v>163848</v>
      </c>
      <c r="B1209" s="77">
        <v>23547</v>
      </c>
      <c r="C1209" s="77" t="s">
        <v>180</v>
      </c>
      <c r="D1209" s="77">
        <v>2.5</v>
      </c>
      <c r="E1209" s="77">
        <v>2</v>
      </c>
      <c r="F1209" s="79">
        <f t="shared" si="18"/>
        <v>2130.886</v>
      </c>
      <c r="J1209" s="78">
        <v>23545</v>
      </c>
      <c r="K1209" s="78" t="s">
        <v>172</v>
      </c>
      <c r="L1209" s="78">
        <v>1612.692</v>
      </c>
    </row>
    <row r="1210" spans="1:12">
      <c r="A1210" s="77">
        <v>126323</v>
      </c>
      <c r="B1210" s="77">
        <v>23554</v>
      </c>
      <c r="C1210" s="77" t="s">
        <v>180</v>
      </c>
      <c r="D1210" s="77">
        <v>2.25</v>
      </c>
      <c r="E1210" s="77">
        <v>2</v>
      </c>
      <c r="F1210" s="79">
        <f t="shared" si="18"/>
        <v>1192.4649999999999</v>
      </c>
      <c r="J1210" s="78">
        <v>23546</v>
      </c>
      <c r="K1210" s="78" t="s">
        <v>173</v>
      </c>
      <c r="L1210" s="78">
        <v>2079.9929999999999</v>
      </c>
    </row>
    <row r="1211" spans="1:12">
      <c r="A1211" s="77">
        <v>148669</v>
      </c>
      <c r="B1211" s="77">
        <v>23556</v>
      </c>
      <c r="C1211" s="77" t="s">
        <v>180</v>
      </c>
      <c r="D1211" s="77">
        <v>2.75</v>
      </c>
      <c r="E1211" s="77">
        <v>1</v>
      </c>
      <c r="F1211" s="79">
        <f t="shared" si="18"/>
        <v>8264.9449999999997</v>
      </c>
      <c r="J1211" s="78">
        <v>23547</v>
      </c>
      <c r="K1211" s="78" t="s">
        <v>171</v>
      </c>
      <c r="L1211" s="78">
        <v>2130.886</v>
      </c>
    </row>
    <row r="1212" spans="1:12">
      <c r="A1212" s="77">
        <v>46814</v>
      </c>
      <c r="B1212" s="77">
        <v>23559</v>
      </c>
      <c r="C1212" s="77" t="s">
        <v>180</v>
      </c>
      <c r="D1212" s="77">
        <v>4</v>
      </c>
      <c r="E1212" s="77">
        <v>1</v>
      </c>
      <c r="F1212" s="79">
        <f t="shared" si="18"/>
        <v>8264.9449999999997</v>
      </c>
      <c r="J1212" s="78">
        <v>23554</v>
      </c>
      <c r="K1212" s="78" t="s">
        <v>170</v>
      </c>
      <c r="L1212" s="78">
        <v>1192.4649999999999</v>
      </c>
    </row>
    <row r="1213" spans="1:12">
      <c r="A1213" s="77">
        <v>43290</v>
      </c>
      <c r="B1213" s="77">
        <v>23564</v>
      </c>
      <c r="C1213" s="77" t="s">
        <v>180</v>
      </c>
      <c r="D1213" s="77">
        <v>3.5</v>
      </c>
      <c r="E1213" s="77">
        <v>1</v>
      </c>
      <c r="F1213" s="79">
        <f t="shared" si="18"/>
        <v>2130.886</v>
      </c>
      <c r="J1213" s="78">
        <v>23556</v>
      </c>
      <c r="K1213" s="78" t="s">
        <v>172</v>
      </c>
      <c r="L1213" s="78">
        <v>8264.9449999999997</v>
      </c>
    </row>
    <row r="1214" spans="1:12">
      <c r="A1214" s="77">
        <v>94519</v>
      </c>
      <c r="B1214" s="77">
        <v>23566</v>
      </c>
      <c r="C1214" s="77" t="s">
        <v>180</v>
      </c>
      <c r="D1214" s="77">
        <v>1.1000000000000001</v>
      </c>
      <c r="E1214" s="77">
        <v>1</v>
      </c>
      <c r="F1214" s="79">
        <f t="shared" si="18"/>
        <v>1144.6790000000001</v>
      </c>
      <c r="J1214" s="78">
        <v>23559</v>
      </c>
      <c r="K1214" s="78" t="s">
        <v>172</v>
      </c>
      <c r="L1214" s="78">
        <v>8264.9449999999997</v>
      </c>
    </row>
    <row r="1215" spans="1:12">
      <c r="A1215" s="77">
        <v>134318</v>
      </c>
      <c r="B1215" s="77">
        <v>23581</v>
      </c>
      <c r="C1215" s="77" t="s">
        <v>180</v>
      </c>
      <c r="D1215" s="77">
        <v>3.5</v>
      </c>
      <c r="E1215" s="77">
        <v>2</v>
      </c>
      <c r="F1215" s="79">
        <f t="shared" si="18"/>
        <v>1612.692</v>
      </c>
      <c r="J1215" s="78">
        <v>23564</v>
      </c>
      <c r="K1215" s="78" t="s">
        <v>171</v>
      </c>
      <c r="L1215" s="78">
        <v>2130.886</v>
      </c>
    </row>
    <row r="1216" spans="1:12">
      <c r="A1216" s="77">
        <v>163346</v>
      </c>
      <c r="B1216" s="77">
        <v>23602</v>
      </c>
      <c r="C1216" s="77" t="s">
        <v>180</v>
      </c>
      <c r="D1216" s="77">
        <v>2.25</v>
      </c>
      <c r="E1216" s="77">
        <v>2</v>
      </c>
      <c r="F1216" s="79">
        <f t="shared" si="18"/>
        <v>1192.4649999999999</v>
      </c>
      <c r="J1216" s="78">
        <v>23566</v>
      </c>
      <c r="K1216" s="78" t="s">
        <v>171</v>
      </c>
      <c r="L1216" s="78">
        <v>1144.6790000000001</v>
      </c>
    </row>
    <row r="1217" spans="1:12">
      <c r="A1217" s="77">
        <v>107502</v>
      </c>
      <c r="B1217" s="77">
        <v>23607</v>
      </c>
      <c r="C1217" s="77" t="s">
        <v>180</v>
      </c>
      <c r="D1217" s="77">
        <v>3</v>
      </c>
      <c r="E1217" s="77">
        <v>2</v>
      </c>
      <c r="F1217" s="79">
        <f t="shared" si="18"/>
        <v>2079.9929999999999</v>
      </c>
      <c r="J1217" s="78">
        <v>23581</v>
      </c>
      <c r="K1217" s="78" t="s">
        <v>172</v>
      </c>
      <c r="L1217" s="78">
        <v>1612.692</v>
      </c>
    </row>
    <row r="1218" spans="1:12">
      <c r="A1218" s="77">
        <v>100004</v>
      </c>
      <c r="B1218" s="77">
        <v>23611</v>
      </c>
      <c r="C1218" s="77" t="s">
        <v>180</v>
      </c>
      <c r="D1218" s="77">
        <v>2.2000000000000002</v>
      </c>
      <c r="E1218" s="77">
        <v>2</v>
      </c>
      <c r="F1218" s="79">
        <f t="shared" si="18"/>
        <v>1144.6790000000001</v>
      </c>
      <c r="J1218" s="78">
        <v>23602</v>
      </c>
      <c r="K1218" s="78" t="s">
        <v>170</v>
      </c>
      <c r="L1218" s="78">
        <v>1192.4649999999999</v>
      </c>
    </row>
    <row r="1219" spans="1:12">
      <c r="A1219" s="77">
        <v>234471</v>
      </c>
      <c r="B1219" s="77">
        <v>23618</v>
      </c>
      <c r="C1219" s="77" t="s">
        <v>180</v>
      </c>
      <c r="D1219" s="77">
        <v>2.5</v>
      </c>
      <c r="E1219" s="77">
        <v>2</v>
      </c>
      <c r="F1219" s="79">
        <f t="shared" ref="F1219:F1282" si="19">VLOOKUP(B1219,$J$2:$L$1405,3,FALSE)</f>
        <v>3785.7640000000001</v>
      </c>
      <c r="J1219" s="78">
        <v>23607</v>
      </c>
      <c r="K1219" s="78" t="s">
        <v>173</v>
      </c>
      <c r="L1219" s="78">
        <v>2079.9929999999999</v>
      </c>
    </row>
    <row r="1220" spans="1:12">
      <c r="A1220" s="77">
        <v>229217</v>
      </c>
      <c r="B1220" s="77">
        <v>23619</v>
      </c>
      <c r="C1220" s="77" t="s">
        <v>180</v>
      </c>
      <c r="D1220" s="77">
        <v>1</v>
      </c>
      <c r="E1220" s="77">
        <v>2</v>
      </c>
      <c r="F1220" s="79">
        <f t="shared" si="19"/>
        <v>2079.9929999999999</v>
      </c>
      <c r="J1220" s="78">
        <v>23611</v>
      </c>
      <c r="K1220" s="78" t="s">
        <v>171</v>
      </c>
      <c r="L1220" s="78">
        <v>1144.6790000000001</v>
      </c>
    </row>
    <row r="1221" spans="1:12">
      <c r="A1221" s="77">
        <v>137950</v>
      </c>
      <c r="B1221" s="77">
        <v>23621</v>
      </c>
      <c r="C1221" s="77" t="s">
        <v>180</v>
      </c>
      <c r="D1221" s="77">
        <v>3.25</v>
      </c>
      <c r="E1221" s="77">
        <v>2</v>
      </c>
      <c r="F1221" s="79">
        <f t="shared" si="19"/>
        <v>2130.886</v>
      </c>
      <c r="J1221" s="78">
        <v>23618</v>
      </c>
      <c r="K1221" s="78" t="s">
        <v>170</v>
      </c>
      <c r="L1221" s="78">
        <v>3785.7640000000001</v>
      </c>
    </row>
    <row r="1222" spans="1:12">
      <c r="A1222" s="77">
        <v>240851</v>
      </c>
      <c r="B1222" s="77">
        <v>23624</v>
      </c>
      <c r="C1222" s="77" t="s">
        <v>191</v>
      </c>
      <c r="D1222" s="77">
        <v>4</v>
      </c>
      <c r="E1222" s="77">
        <v>2</v>
      </c>
      <c r="F1222" s="79">
        <f t="shared" si="19"/>
        <v>3785.7640000000001</v>
      </c>
      <c r="J1222" s="78">
        <v>23619</v>
      </c>
      <c r="K1222" s="78" t="s">
        <v>173</v>
      </c>
      <c r="L1222" s="78">
        <v>2079.9929999999999</v>
      </c>
    </row>
    <row r="1223" spans="1:12">
      <c r="A1223" s="77">
        <v>188782</v>
      </c>
      <c r="B1223" s="77">
        <v>23627</v>
      </c>
      <c r="C1223" s="77" t="s">
        <v>180</v>
      </c>
      <c r="D1223" s="77">
        <v>2.5</v>
      </c>
      <c r="E1223" s="77">
        <v>2</v>
      </c>
      <c r="F1223" s="79">
        <f t="shared" si="19"/>
        <v>1192.4649999999999</v>
      </c>
      <c r="J1223" s="78">
        <v>23621</v>
      </c>
      <c r="K1223" s="78" t="s">
        <v>171</v>
      </c>
      <c r="L1223" s="78">
        <v>2130.886</v>
      </c>
    </row>
    <row r="1224" spans="1:12">
      <c r="A1224" s="77">
        <v>173481</v>
      </c>
      <c r="B1224" s="77">
        <v>23631</v>
      </c>
      <c r="C1224" s="77" t="s">
        <v>180</v>
      </c>
      <c r="D1224" s="77">
        <v>1</v>
      </c>
      <c r="E1224" s="77">
        <v>2</v>
      </c>
      <c r="F1224" s="79">
        <f t="shared" si="19"/>
        <v>1925.059</v>
      </c>
      <c r="J1224" s="78">
        <v>23624</v>
      </c>
      <c r="K1224" s="78" t="s">
        <v>170</v>
      </c>
      <c r="L1224" s="78">
        <v>3785.7640000000001</v>
      </c>
    </row>
    <row r="1225" spans="1:12">
      <c r="A1225" s="77">
        <v>220365</v>
      </c>
      <c r="B1225" s="77">
        <v>23640</v>
      </c>
      <c r="C1225" s="77" t="s">
        <v>180</v>
      </c>
      <c r="D1225" s="77">
        <v>2.5</v>
      </c>
      <c r="E1225" s="77">
        <v>2</v>
      </c>
      <c r="F1225" s="79">
        <f t="shared" si="19"/>
        <v>2130.886</v>
      </c>
      <c r="J1225" s="78">
        <v>23627</v>
      </c>
      <c r="K1225" s="78" t="s">
        <v>170</v>
      </c>
      <c r="L1225" s="78">
        <v>1192.4649999999999</v>
      </c>
    </row>
    <row r="1226" spans="1:12">
      <c r="A1226" s="77">
        <v>190111</v>
      </c>
      <c r="B1226" s="77">
        <v>23645</v>
      </c>
      <c r="C1226" s="77" t="s">
        <v>180</v>
      </c>
      <c r="D1226" s="77">
        <v>3.5</v>
      </c>
      <c r="E1226" s="77">
        <v>1</v>
      </c>
      <c r="F1226" s="79">
        <f t="shared" si="19"/>
        <v>1612.692</v>
      </c>
      <c r="J1226" s="78">
        <v>23631</v>
      </c>
      <c r="K1226" s="78" t="s">
        <v>172</v>
      </c>
      <c r="L1226" s="78">
        <v>1925.059</v>
      </c>
    </row>
    <row r="1227" spans="1:12">
      <c r="A1227" s="77">
        <v>207861</v>
      </c>
      <c r="B1227" s="77">
        <v>23666</v>
      </c>
      <c r="C1227" s="77" t="s">
        <v>180</v>
      </c>
      <c r="D1227" s="77">
        <v>2.25</v>
      </c>
      <c r="E1227" s="77">
        <v>3</v>
      </c>
      <c r="F1227" s="79">
        <f t="shared" si="19"/>
        <v>1904.288</v>
      </c>
      <c r="J1227" s="78">
        <v>23640</v>
      </c>
      <c r="K1227" s="78" t="s">
        <v>171</v>
      </c>
      <c r="L1227" s="78">
        <v>2130.886</v>
      </c>
    </row>
    <row r="1228" spans="1:12">
      <c r="A1228" s="77">
        <v>131678</v>
      </c>
      <c r="B1228" s="77">
        <v>23667</v>
      </c>
      <c r="C1228" s="77" t="s">
        <v>180</v>
      </c>
      <c r="D1228" s="77">
        <v>2.5</v>
      </c>
      <c r="E1228" s="77">
        <v>2</v>
      </c>
      <c r="F1228" s="79">
        <f t="shared" si="19"/>
        <v>8264.9449999999997</v>
      </c>
      <c r="J1228" s="78">
        <v>23645</v>
      </c>
      <c r="K1228" s="78" t="s">
        <v>172</v>
      </c>
      <c r="L1228" s="78">
        <v>1612.692</v>
      </c>
    </row>
    <row r="1229" spans="1:12">
      <c r="A1229" s="77">
        <v>89577</v>
      </c>
      <c r="B1229" s="77">
        <v>23674</v>
      </c>
      <c r="C1229" s="77" t="s">
        <v>180</v>
      </c>
      <c r="D1229" s="77">
        <v>1.8</v>
      </c>
      <c r="E1229" s="77">
        <v>1</v>
      </c>
      <c r="F1229" s="79">
        <f t="shared" si="19"/>
        <v>1144.6790000000001</v>
      </c>
      <c r="J1229" s="78">
        <v>23666</v>
      </c>
      <c r="K1229" s="78" t="s">
        <v>173</v>
      </c>
      <c r="L1229" s="78">
        <v>1904.288</v>
      </c>
    </row>
    <row r="1230" spans="1:12">
      <c r="A1230" s="77">
        <v>52640</v>
      </c>
      <c r="B1230" s="77">
        <v>23676</v>
      </c>
      <c r="C1230" s="77" t="s">
        <v>180</v>
      </c>
      <c r="D1230" s="77">
        <v>2</v>
      </c>
      <c r="E1230" s="77">
        <v>2</v>
      </c>
      <c r="F1230" s="79">
        <f t="shared" si="19"/>
        <v>2079.9929999999999</v>
      </c>
      <c r="J1230" s="78">
        <v>23667</v>
      </c>
      <c r="K1230" s="78" t="s">
        <v>172</v>
      </c>
      <c r="L1230" s="78">
        <v>8264.9449999999997</v>
      </c>
    </row>
    <row r="1231" spans="1:12">
      <c r="A1231" s="77">
        <v>144706</v>
      </c>
      <c r="B1231" s="77">
        <v>23696</v>
      </c>
      <c r="C1231" s="77" t="s">
        <v>180</v>
      </c>
      <c r="D1231" s="77">
        <v>2.5</v>
      </c>
      <c r="E1231" s="77">
        <v>2</v>
      </c>
      <c r="F1231" s="79">
        <f t="shared" si="19"/>
        <v>3785.7640000000001</v>
      </c>
      <c r="J1231" s="78">
        <v>23674</v>
      </c>
      <c r="K1231" s="78" t="s">
        <v>171</v>
      </c>
      <c r="L1231" s="78">
        <v>1144.6790000000001</v>
      </c>
    </row>
    <row r="1232" spans="1:12">
      <c r="A1232" s="77">
        <v>179870</v>
      </c>
      <c r="B1232" s="77">
        <v>23704</v>
      </c>
      <c r="C1232" s="77" t="s">
        <v>180</v>
      </c>
      <c r="D1232" s="77">
        <v>2</v>
      </c>
      <c r="E1232" s="77">
        <v>1</v>
      </c>
      <c r="F1232" s="79">
        <f t="shared" si="19"/>
        <v>1612.692</v>
      </c>
      <c r="J1232" s="78">
        <v>23676</v>
      </c>
      <c r="K1232" s="78" t="s">
        <v>173</v>
      </c>
      <c r="L1232" s="78">
        <v>2079.9929999999999</v>
      </c>
    </row>
    <row r="1233" spans="1:12">
      <c r="A1233" s="77">
        <v>154144</v>
      </c>
      <c r="B1233" s="77">
        <v>23705</v>
      </c>
      <c r="C1233" s="77" t="s">
        <v>180</v>
      </c>
      <c r="D1233" s="77">
        <v>3</v>
      </c>
      <c r="E1233" s="77">
        <v>1</v>
      </c>
      <c r="F1233" s="79">
        <f t="shared" si="19"/>
        <v>1612.692</v>
      </c>
      <c r="J1233" s="78">
        <v>23696</v>
      </c>
      <c r="K1233" s="78" t="s">
        <v>170</v>
      </c>
      <c r="L1233" s="78">
        <v>3785.7640000000001</v>
      </c>
    </row>
    <row r="1234" spans="1:12">
      <c r="A1234" s="77">
        <v>238267</v>
      </c>
      <c r="B1234" s="77">
        <v>23710</v>
      </c>
      <c r="C1234" s="77" t="s">
        <v>180</v>
      </c>
      <c r="D1234" s="77">
        <v>2.2000000000000002</v>
      </c>
      <c r="E1234" s="77">
        <v>3</v>
      </c>
      <c r="F1234" s="79">
        <f t="shared" si="19"/>
        <v>2079.9929999999999</v>
      </c>
      <c r="J1234" s="78">
        <v>23704</v>
      </c>
      <c r="K1234" s="78" t="s">
        <v>172</v>
      </c>
      <c r="L1234" s="78">
        <v>1612.692</v>
      </c>
    </row>
    <row r="1235" spans="1:12">
      <c r="A1235" s="77">
        <v>47007</v>
      </c>
      <c r="B1235" s="77">
        <v>23714</v>
      </c>
      <c r="C1235" s="77" t="s">
        <v>180</v>
      </c>
      <c r="D1235" s="77">
        <v>2.2000000000000002</v>
      </c>
      <c r="E1235" s="77">
        <v>2</v>
      </c>
      <c r="F1235" s="79">
        <f t="shared" si="19"/>
        <v>8264.9449999999997</v>
      </c>
      <c r="J1235" s="78">
        <v>23705</v>
      </c>
      <c r="K1235" s="78" t="s">
        <v>172</v>
      </c>
      <c r="L1235" s="78">
        <v>1612.692</v>
      </c>
    </row>
    <row r="1236" spans="1:12">
      <c r="A1236" s="77">
        <v>208288</v>
      </c>
      <c r="B1236" s="77">
        <v>23720</v>
      </c>
      <c r="C1236" s="77" t="s">
        <v>180</v>
      </c>
      <c r="D1236" s="77">
        <v>1</v>
      </c>
      <c r="E1236" s="77">
        <v>1</v>
      </c>
      <c r="F1236" s="79">
        <f t="shared" si="19"/>
        <v>1904.288</v>
      </c>
      <c r="J1236" s="78">
        <v>23710</v>
      </c>
      <c r="K1236" s="78" t="s">
        <v>173</v>
      </c>
      <c r="L1236" s="78">
        <v>2079.9929999999999</v>
      </c>
    </row>
    <row r="1237" spans="1:12">
      <c r="A1237" s="77">
        <v>68641</v>
      </c>
      <c r="B1237" s="77">
        <v>23721</v>
      </c>
      <c r="C1237" s="77" t="s">
        <v>180</v>
      </c>
      <c r="D1237" s="77">
        <v>1.5</v>
      </c>
      <c r="E1237" s="77">
        <v>1</v>
      </c>
      <c r="F1237" s="79">
        <f t="shared" si="19"/>
        <v>1144.6790000000001</v>
      </c>
      <c r="J1237" s="78">
        <v>23714</v>
      </c>
      <c r="K1237" s="78" t="s">
        <v>172</v>
      </c>
      <c r="L1237" s="78">
        <v>8264.9449999999997</v>
      </c>
    </row>
    <row r="1238" spans="1:12">
      <c r="A1238" s="77">
        <v>168283</v>
      </c>
      <c r="B1238" s="77">
        <v>23724</v>
      </c>
      <c r="C1238" s="77" t="s">
        <v>180</v>
      </c>
      <c r="D1238" s="77">
        <v>1.6</v>
      </c>
      <c r="E1238" s="77">
        <v>1</v>
      </c>
      <c r="F1238" s="79">
        <f t="shared" si="19"/>
        <v>1612.692</v>
      </c>
      <c r="J1238" s="78">
        <v>23720</v>
      </c>
      <c r="K1238" s="78" t="s">
        <v>173</v>
      </c>
      <c r="L1238" s="78">
        <v>1904.288</v>
      </c>
    </row>
    <row r="1239" spans="1:12">
      <c r="A1239" s="77">
        <v>124501</v>
      </c>
      <c r="B1239" s="77">
        <v>23734</v>
      </c>
      <c r="C1239" s="77" t="s">
        <v>180</v>
      </c>
      <c r="D1239" s="77">
        <v>2</v>
      </c>
      <c r="E1239" s="77">
        <v>2</v>
      </c>
      <c r="F1239" s="79">
        <f t="shared" si="19"/>
        <v>2079.9929999999999</v>
      </c>
      <c r="J1239" s="78">
        <v>23721</v>
      </c>
      <c r="K1239" s="78" t="s">
        <v>171</v>
      </c>
      <c r="L1239" s="78">
        <v>1144.6790000000001</v>
      </c>
    </row>
    <row r="1240" spans="1:12">
      <c r="A1240" s="77">
        <v>218540</v>
      </c>
      <c r="B1240" s="77">
        <v>23742</v>
      </c>
      <c r="C1240" s="77" t="s">
        <v>180</v>
      </c>
      <c r="D1240" s="77">
        <v>2.5</v>
      </c>
      <c r="E1240" s="77">
        <v>4</v>
      </c>
      <c r="F1240" s="79">
        <f t="shared" si="19"/>
        <v>3785.7640000000001</v>
      </c>
      <c r="J1240" s="78">
        <v>23724</v>
      </c>
      <c r="K1240" s="78" t="s">
        <v>172</v>
      </c>
      <c r="L1240" s="78">
        <v>1612.692</v>
      </c>
    </row>
    <row r="1241" spans="1:12">
      <c r="A1241" s="77">
        <v>97943</v>
      </c>
      <c r="B1241" s="77">
        <v>23744</v>
      </c>
      <c r="C1241" s="77" t="s">
        <v>180</v>
      </c>
      <c r="D1241" s="77">
        <v>2.75</v>
      </c>
      <c r="E1241" s="77">
        <v>2</v>
      </c>
      <c r="F1241" s="79">
        <f t="shared" si="19"/>
        <v>1904.288</v>
      </c>
      <c r="J1241" s="78">
        <v>23734</v>
      </c>
      <c r="K1241" s="78" t="s">
        <v>173</v>
      </c>
      <c r="L1241" s="78">
        <v>2079.9929999999999</v>
      </c>
    </row>
    <row r="1242" spans="1:12">
      <c r="A1242" s="77">
        <v>200508</v>
      </c>
      <c r="B1242" s="77">
        <v>23746</v>
      </c>
      <c r="C1242" s="77" t="s">
        <v>180</v>
      </c>
      <c r="D1242" s="77">
        <v>2</v>
      </c>
      <c r="E1242" s="77">
        <v>1</v>
      </c>
      <c r="F1242" s="79">
        <f t="shared" si="19"/>
        <v>8559.1039999999994</v>
      </c>
      <c r="J1242" s="78">
        <v>23742</v>
      </c>
      <c r="K1242" s="78" t="s">
        <v>170</v>
      </c>
      <c r="L1242" s="78">
        <v>3785.7640000000001</v>
      </c>
    </row>
    <row r="1243" spans="1:12">
      <c r="A1243" s="77">
        <v>208409</v>
      </c>
      <c r="B1243" s="77">
        <v>23756</v>
      </c>
      <c r="C1243" s="77" t="s">
        <v>180</v>
      </c>
      <c r="D1243" s="77">
        <v>1</v>
      </c>
      <c r="E1243" s="77">
        <v>1</v>
      </c>
      <c r="F1243" s="79">
        <f t="shared" si="19"/>
        <v>1904.288</v>
      </c>
      <c r="J1243" s="78">
        <v>23744</v>
      </c>
      <c r="K1243" s="78" t="s">
        <v>173</v>
      </c>
      <c r="L1243" s="78">
        <v>1904.288</v>
      </c>
    </row>
    <row r="1244" spans="1:12">
      <c r="A1244" s="77">
        <v>138208</v>
      </c>
      <c r="B1244" s="77">
        <v>23762</v>
      </c>
      <c r="C1244" s="77" t="s">
        <v>180</v>
      </c>
      <c r="D1244" s="77">
        <v>2</v>
      </c>
      <c r="E1244" s="77">
        <v>2</v>
      </c>
      <c r="F1244" s="79">
        <f t="shared" si="19"/>
        <v>8264.9449999999997</v>
      </c>
      <c r="J1244" s="78">
        <v>23746</v>
      </c>
      <c r="K1244" s="78" t="s">
        <v>172</v>
      </c>
      <c r="L1244" s="78">
        <v>8559.1039999999994</v>
      </c>
    </row>
    <row r="1245" spans="1:12">
      <c r="A1245" s="77">
        <v>79848</v>
      </c>
      <c r="B1245" s="77">
        <v>23763</v>
      </c>
      <c r="C1245" s="77" t="s">
        <v>180</v>
      </c>
      <c r="D1245" s="77">
        <v>3</v>
      </c>
      <c r="E1245" s="77">
        <v>2</v>
      </c>
      <c r="F1245" s="79">
        <f t="shared" si="19"/>
        <v>2079.9929999999999</v>
      </c>
      <c r="J1245" s="78">
        <v>23756</v>
      </c>
      <c r="K1245" s="78" t="s">
        <v>173</v>
      </c>
      <c r="L1245" s="78">
        <v>1904.288</v>
      </c>
    </row>
    <row r="1246" spans="1:12">
      <c r="A1246" s="77">
        <v>132966</v>
      </c>
      <c r="B1246" s="77">
        <v>23765</v>
      </c>
      <c r="C1246" s="77" t="s">
        <v>180</v>
      </c>
      <c r="D1246" s="77">
        <v>1.4</v>
      </c>
      <c r="E1246" s="77">
        <v>2</v>
      </c>
      <c r="F1246" s="79">
        <f t="shared" si="19"/>
        <v>1144.6790000000001</v>
      </c>
      <c r="J1246" s="78">
        <v>23762</v>
      </c>
      <c r="K1246" s="78" t="s">
        <v>172</v>
      </c>
      <c r="L1246" s="78">
        <v>8264.9449999999997</v>
      </c>
    </row>
    <row r="1247" spans="1:12">
      <c r="A1247" s="77">
        <v>169821</v>
      </c>
      <c r="B1247" s="77">
        <v>23788</v>
      </c>
      <c r="C1247" s="77" t="s">
        <v>180</v>
      </c>
      <c r="D1247" s="77">
        <v>2</v>
      </c>
      <c r="E1247" s="77">
        <v>1</v>
      </c>
      <c r="F1247" s="79">
        <f t="shared" si="19"/>
        <v>1192.4649999999999</v>
      </c>
      <c r="J1247" s="78">
        <v>23763</v>
      </c>
      <c r="K1247" s="78" t="s">
        <v>173</v>
      </c>
      <c r="L1247" s="78">
        <v>2079.9929999999999</v>
      </c>
    </row>
    <row r="1248" spans="1:12">
      <c r="A1248" s="77">
        <v>226383</v>
      </c>
      <c r="B1248" s="77">
        <v>23791</v>
      </c>
      <c r="C1248" s="77" t="s">
        <v>180</v>
      </c>
      <c r="D1248" s="77">
        <v>2.5</v>
      </c>
      <c r="E1248" s="77">
        <v>2</v>
      </c>
      <c r="F1248" s="79">
        <f t="shared" si="19"/>
        <v>1904.288</v>
      </c>
      <c r="J1248" s="78">
        <v>23765</v>
      </c>
      <c r="K1248" s="78" t="s">
        <v>171</v>
      </c>
      <c r="L1248" s="78">
        <v>1144.6790000000001</v>
      </c>
    </row>
    <row r="1249" spans="1:12">
      <c r="A1249" s="77">
        <v>121595</v>
      </c>
      <c r="B1249" s="77">
        <v>23813</v>
      </c>
      <c r="C1249" s="77" t="s">
        <v>180</v>
      </c>
      <c r="D1249" s="77">
        <v>2.25</v>
      </c>
      <c r="E1249" s="77">
        <v>2</v>
      </c>
      <c r="F1249" s="79">
        <f t="shared" si="19"/>
        <v>1904.288</v>
      </c>
      <c r="J1249" s="78">
        <v>23788</v>
      </c>
      <c r="K1249" s="78" t="s">
        <v>170</v>
      </c>
      <c r="L1249" s="78">
        <v>1192.4649999999999</v>
      </c>
    </row>
    <row r="1250" spans="1:12">
      <c r="A1250" s="77">
        <v>137842</v>
      </c>
      <c r="B1250" s="77">
        <v>23824</v>
      </c>
      <c r="C1250" s="77" t="s">
        <v>180</v>
      </c>
      <c r="D1250" s="77">
        <v>2.25</v>
      </c>
      <c r="E1250" s="77">
        <v>3</v>
      </c>
      <c r="F1250" s="79">
        <f t="shared" si="19"/>
        <v>1144.6790000000001</v>
      </c>
      <c r="J1250" s="78">
        <v>23791</v>
      </c>
      <c r="K1250" s="78" t="s">
        <v>173</v>
      </c>
      <c r="L1250" s="78">
        <v>1904.288</v>
      </c>
    </row>
    <row r="1251" spans="1:12">
      <c r="A1251" s="77">
        <v>213625</v>
      </c>
      <c r="B1251" s="77">
        <v>23830</v>
      </c>
      <c r="C1251" s="77" t="s">
        <v>180</v>
      </c>
      <c r="D1251" s="77">
        <v>1</v>
      </c>
      <c r="E1251" s="77">
        <v>2</v>
      </c>
      <c r="F1251" s="79">
        <f t="shared" si="19"/>
        <v>1612.692</v>
      </c>
      <c r="J1251" s="78">
        <v>23813</v>
      </c>
      <c r="K1251" s="78" t="s">
        <v>173</v>
      </c>
      <c r="L1251" s="78">
        <v>1904.288</v>
      </c>
    </row>
    <row r="1252" spans="1:12">
      <c r="A1252" s="77">
        <v>45753</v>
      </c>
      <c r="B1252" s="77">
        <v>23835</v>
      </c>
      <c r="C1252" s="77" t="s">
        <v>180</v>
      </c>
      <c r="D1252" s="77">
        <v>3</v>
      </c>
      <c r="E1252" s="77">
        <v>2</v>
      </c>
      <c r="F1252" s="79">
        <f t="shared" si="19"/>
        <v>8264.9449999999997</v>
      </c>
      <c r="J1252" s="78">
        <v>23824</v>
      </c>
      <c r="K1252" s="78" t="s">
        <v>171</v>
      </c>
      <c r="L1252" s="78">
        <v>1144.6790000000001</v>
      </c>
    </row>
    <row r="1253" spans="1:12">
      <c r="A1253" s="77">
        <v>99114</v>
      </c>
      <c r="B1253" s="77">
        <v>23840</v>
      </c>
      <c r="C1253" s="77" t="s">
        <v>180</v>
      </c>
      <c r="D1253" s="77">
        <v>1</v>
      </c>
      <c r="E1253" s="77">
        <v>2</v>
      </c>
      <c r="F1253" s="79">
        <f t="shared" si="19"/>
        <v>1144.6790000000001</v>
      </c>
      <c r="J1253" s="78">
        <v>23830</v>
      </c>
      <c r="K1253" s="78" t="s">
        <v>172</v>
      </c>
      <c r="L1253" s="78">
        <v>1612.692</v>
      </c>
    </row>
    <row r="1254" spans="1:12">
      <c r="A1254" s="77">
        <v>87393</v>
      </c>
      <c r="B1254" s="77">
        <v>23846</v>
      </c>
      <c r="C1254" s="77" t="s">
        <v>180</v>
      </c>
      <c r="D1254" s="77">
        <v>1.8</v>
      </c>
      <c r="E1254" s="77">
        <v>1</v>
      </c>
      <c r="F1254" s="79">
        <f t="shared" si="19"/>
        <v>1144.6790000000001</v>
      </c>
      <c r="J1254" s="78">
        <v>23835</v>
      </c>
      <c r="K1254" s="78" t="s">
        <v>172</v>
      </c>
      <c r="L1254" s="78">
        <v>8264.9449999999997</v>
      </c>
    </row>
    <row r="1255" spans="1:12">
      <c r="A1255" s="77">
        <v>59847</v>
      </c>
      <c r="B1255" s="77">
        <v>23847</v>
      </c>
      <c r="C1255" s="77" t="s">
        <v>180</v>
      </c>
      <c r="D1255" s="77">
        <v>1.5</v>
      </c>
      <c r="E1255" s="77">
        <v>2</v>
      </c>
      <c r="F1255" s="79">
        <f t="shared" si="19"/>
        <v>2079.9929999999999</v>
      </c>
      <c r="J1255" s="78">
        <v>23840</v>
      </c>
      <c r="K1255" s="78" t="s">
        <v>171</v>
      </c>
      <c r="L1255" s="78">
        <v>1144.6790000000001</v>
      </c>
    </row>
    <row r="1256" spans="1:12">
      <c r="A1256" s="77">
        <v>260629</v>
      </c>
      <c r="B1256" s="77">
        <v>23857</v>
      </c>
      <c r="C1256" s="77" t="s">
        <v>180</v>
      </c>
      <c r="D1256" s="77">
        <v>1.5</v>
      </c>
      <c r="E1256" s="77">
        <v>2</v>
      </c>
      <c r="F1256" s="79">
        <f t="shared" si="19"/>
        <v>1144.6790000000001</v>
      </c>
      <c r="J1256" s="78">
        <v>23846</v>
      </c>
      <c r="K1256" s="78" t="s">
        <v>171</v>
      </c>
      <c r="L1256" s="78">
        <v>1144.6790000000001</v>
      </c>
    </row>
    <row r="1257" spans="1:12">
      <c r="A1257" s="77">
        <v>52108</v>
      </c>
      <c r="B1257" s="77">
        <v>23859</v>
      </c>
      <c r="C1257" s="77" t="s">
        <v>180</v>
      </c>
      <c r="D1257" s="77">
        <v>1</v>
      </c>
      <c r="E1257" s="77">
        <v>2</v>
      </c>
      <c r="F1257" s="79">
        <f t="shared" si="19"/>
        <v>2130.886</v>
      </c>
      <c r="J1257" s="78">
        <v>23847</v>
      </c>
      <c r="K1257" s="78" t="s">
        <v>173</v>
      </c>
      <c r="L1257" s="78">
        <v>2079.9929999999999</v>
      </c>
    </row>
    <row r="1258" spans="1:12">
      <c r="A1258" s="77">
        <v>85502</v>
      </c>
      <c r="B1258" s="77">
        <v>23860</v>
      </c>
      <c r="C1258" s="77" t="s">
        <v>180</v>
      </c>
      <c r="D1258" s="77">
        <v>3.5</v>
      </c>
      <c r="E1258" s="77">
        <v>1</v>
      </c>
      <c r="F1258" s="79">
        <f t="shared" si="19"/>
        <v>1925.059</v>
      </c>
      <c r="J1258" s="78">
        <v>23857</v>
      </c>
      <c r="K1258" s="78" t="s">
        <v>171</v>
      </c>
      <c r="L1258" s="78">
        <v>1144.6790000000001</v>
      </c>
    </row>
    <row r="1259" spans="1:12">
      <c r="A1259" s="77">
        <v>161105</v>
      </c>
      <c r="B1259" s="77">
        <v>23870</v>
      </c>
      <c r="C1259" s="77" t="s">
        <v>180</v>
      </c>
      <c r="D1259" s="77">
        <v>2</v>
      </c>
      <c r="E1259" s="77">
        <v>1</v>
      </c>
      <c r="F1259" s="79">
        <f t="shared" si="19"/>
        <v>2130.886</v>
      </c>
      <c r="J1259" s="78">
        <v>23859</v>
      </c>
      <c r="K1259" s="78" t="s">
        <v>171</v>
      </c>
      <c r="L1259" s="78">
        <v>2130.886</v>
      </c>
    </row>
    <row r="1260" spans="1:12">
      <c r="A1260" s="77">
        <v>239692</v>
      </c>
      <c r="B1260" s="77">
        <v>23879</v>
      </c>
      <c r="C1260" s="77" t="s">
        <v>180</v>
      </c>
      <c r="D1260" s="77">
        <v>4.5</v>
      </c>
      <c r="E1260" s="77">
        <v>2</v>
      </c>
      <c r="F1260" s="79">
        <f t="shared" si="19"/>
        <v>2079.9929999999999</v>
      </c>
      <c r="J1260" s="78">
        <v>23860</v>
      </c>
      <c r="K1260" s="78" t="s">
        <v>172</v>
      </c>
      <c r="L1260" s="78">
        <v>1925.059</v>
      </c>
    </row>
    <row r="1261" spans="1:12">
      <c r="A1261" s="77">
        <v>86703</v>
      </c>
      <c r="B1261" s="77">
        <v>23882</v>
      </c>
      <c r="C1261" s="77" t="s">
        <v>180</v>
      </c>
      <c r="D1261" s="77">
        <v>1.75</v>
      </c>
      <c r="E1261" s="77">
        <v>3</v>
      </c>
      <c r="F1261" s="79">
        <f t="shared" si="19"/>
        <v>1144.6790000000001</v>
      </c>
      <c r="J1261" s="78">
        <v>23870</v>
      </c>
      <c r="K1261" s="78" t="s">
        <v>171</v>
      </c>
      <c r="L1261" s="78">
        <v>2130.886</v>
      </c>
    </row>
    <row r="1262" spans="1:12">
      <c r="A1262" s="77">
        <v>169969</v>
      </c>
      <c r="B1262" s="77">
        <v>23886</v>
      </c>
      <c r="C1262" s="77" t="s">
        <v>180</v>
      </c>
      <c r="D1262" s="77">
        <v>2.5</v>
      </c>
      <c r="E1262" s="77">
        <v>4</v>
      </c>
      <c r="F1262" s="79">
        <f t="shared" si="19"/>
        <v>1192.4649999999999</v>
      </c>
      <c r="J1262" s="78">
        <v>23879</v>
      </c>
      <c r="K1262" s="78" t="s">
        <v>173</v>
      </c>
      <c r="L1262" s="78">
        <v>2079.9929999999999</v>
      </c>
    </row>
    <row r="1263" spans="1:12">
      <c r="A1263" s="77">
        <v>183615</v>
      </c>
      <c r="B1263" s="77">
        <v>23889</v>
      </c>
      <c r="C1263" s="77" t="s">
        <v>180</v>
      </c>
      <c r="D1263" s="77">
        <v>2</v>
      </c>
      <c r="E1263" s="77">
        <v>2</v>
      </c>
      <c r="F1263" s="79">
        <f t="shared" si="19"/>
        <v>1612.692</v>
      </c>
      <c r="J1263" s="78">
        <v>23882</v>
      </c>
      <c r="K1263" s="78" t="s">
        <v>171</v>
      </c>
      <c r="L1263" s="78">
        <v>1144.6790000000001</v>
      </c>
    </row>
    <row r="1264" spans="1:12">
      <c r="A1264" s="77">
        <v>71125</v>
      </c>
      <c r="B1264" s="77">
        <v>23905</v>
      </c>
      <c r="C1264" s="77" t="s">
        <v>180</v>
      </c>
      <c r="D1264" s="77">
        <v>2</v>
      </c>
      <c r="E1264" s="77">
        <v>1</v>
      </c>
      <c r="F1264" s="79">
        <f t="shared" si="19"/>
        <v>2079.9929999999999</v>
      </c>
      <c r="J1264" s="78">
        <v>23886</v>
      </c>
      <c r="K1264" s="78" t="s">
        <v>170</v>
      </c>
      <c r="L1264" s="78">
        <v>1192.4649999999999</v>
      </c>
    </row>
    <row r="1265" spans="1:12">
      <c r="A1265" s="77">
        <v>166246</v>
      </c>
      <c r="B1265" s="77">
        <v>23909</v>
      </c>
      <c r="C1265" s="77" t="s">
        <v>180</v>
      </c>
      <c r="D1265" s="77">
        <v>2</v>
      </c>
      <c r="E1265" s="77">
        <v>1</v>
      </c>
      <c r="F1265" s="79">
        <f t="shared" si="19"/>
        <v>1192.4649999999999</v>
      </c>
      <c r="J1265" s="78">
        <v>23889</v>
      </c>
      <c r="K1265" s="78" t="s">
        <v>172</v>
      </c>
      <c r="L1265" s="78">
        <v>1612.692</v>
      </c>
    </row>
    <row r="1266" spans="1:12">
      <c r="A1266" s="77">
        <v>218205</v>
      </c>
      <c r="B1266" s="77">
        <v>23910</v>
      </c>
      <c r="C1266" s="77" t="s">
        <v>180</v>
      </c>
      <c r="D1266" s="77">
        <v>2.5</v>
      </c>
      <c r="E1266" s="77">
        <v>3</v>
      </c>
      <c r="F1266" s="79">
        <f t="shared" si="19"/>
        <v>3785.7640000000001</v>
      </c>
      <c r="J1266" s="78">
        <v>23905</v>
      </c>
      <c r="K1266" s="78" t="s">
        <v>173</v>
      </c>
      <c r="L1266" s="78">
        <v>2079.9929999999999</v>
      </c>
    </row>
    <row r="1267" spans="1:12">
      <c r="A1267" s="77">
        <v>107401</v>
      </c>
      <c r="B1267" s="77">
        <v>23913</v>
      </c>
      <c r="C1267" s="77" t="s">
        <v>180</v>
      </c>
      <c r="D1267" s="77">
        <v>2.8</v>
      </c>
      <c r="E1267" s="77">
        <v>1</v>
      </c>
      <c r="F1267" s="79">
        <f t="shared" si="19"/>
        <v>2079.9929999999999</v>
      </c>
      <c r="J1267" s="78">
        <v>23909</v>
      </c>
      <c r="K1267" s="78" t="s">
        <v>170</v>
      </c>
      <c r="L1267" s="78">
        <v>1192.4649999999999</v>
      </c>
    </row>
    <row r="1268" spans="1:12">
      <c r="A1268" s="77">
        <v>132418</v>
      </c>
      <c r="B1268" s="77">
        <v>23914</v>
      </c>
      <c r="C1268" s="77" t="s">
        <v>180</v>
      </c>
      <c r="D1268" s="77">
        <v>2</v>
      </c>
      <c r="E1268" s="77">
        <v>2</v>
      </c>
      <c r="F1268" s="79">
        <f t="shared" si="19"/>
        <v>1144.6790000000001</v>
      </c>
      <c r="J1268" s="78">
        <v>23910</v>
      </c>
      <c r="K1268" s="78" t="s">
        <v>170</v>
      </c>
      <c r="L1268" s="78">
        <v>3785.7640000000001</v>
      </c>
    </row>
    <row r="1269" spans="1:12">
      <c r="A1269" s="77">
        <v>169888</v>
      </c>
      <c r="B1269" s="77">
        <v>23926</v>
      </c>
      <c r="C1269" s="77" t="s">
        <v>180</v>
      </c>
      <c r="D1269" s="77">
        <v>2.5</v>
      </c>
      <c r="E1269" s="77">
        <v>2</v>
      </c>
      <c r="F1269" s="79">
        <f t="shared" si="19"/>
        <v>3785.7640000000001</v>
      </c>
      <c r="J1269" s="78">
        <v>23913</v>
      </c>
      <c r="K1269" s="78" t="s">
        <v>173</v>
      </c>
      <c r="L1269" s="78">
        <v>2079.9929999999999</v>
      </c>
    </row>
    <row r="1270" spans="1:12">
      <c r="A1270" s="77">
        <v>74451</v>
      </c>
      <c r="B1270" s="77">
        <v>23931</v>
      </c>
      <c r="C1270" s="77" t="s">
        <v>180</v>
      </c>
      <c r="D1270" s="77">
        <v>1.3</v>
      </c>
      <c r="E1270" s="77">
        <v>4</v>
      </c>
      <c r="F1270" s="79">
        <f t="shared" si="19"/>
        <v>1144.6790000000001</v>
      </c>
      <c r="J1270" s="78">
        <v>23914</v>
      </c>
      <c r="K1270" s="78" t="s">
        <v>171</v>
      </c>
      <c r="L1270" s="78">
        <v>1144.6790000000001</v>
      </c>
    </row>
    <row r="1271" spans="1:12">
      <c r="A1271" s="77">
        <v>218688</v>
      </c>
      <c r="B1271" s="77">
        <v>23932</v>
      </c>
      <c r="C1271" s="77" t="s">
        <v>180</v>
      </c>
      <c r="D1271" s="77">
        <v>3</v>
      </c>
      <c r="E1271" s="77">
        <v>2</v>
      </c>
      <c r="F1271" s="79">
        <f t="shared" si="19"/>
        <v>3785.7640000000001</v>
      </c>
      <c r="J1271" s="78">
        <v>23926</v>
      </c>
      <c r="K1271" s="78" t="s">
        <v>170</v>
      </c>
      <c r="L1271" s="78">
        <v>3785.7640000000001</v>
      </c>
    </row>
    <row r="1272" spans="1:12">
      <c r="A1272" s="77">
        <v>677624</v>
      </c>
      <c r="B1272" s="77">
        <v>23933</v>
      </c>
      <c r="C1272" s="77" t="s">
        <v>180</v>
      </c>
      <c r="D1272" s="77">
        <v>1</v>
      </c>
      <c r="E1272" s="77">
        <v>1</v>
      </c>
      <c r="F1272" s="79">
        <f t="shared" si="19"/>
        <v>3785.7640000000001</v>
      </c>
      <c r="J1272" s="78">
        <v>23931</v>
      </c>
      <c r="K1272" s="78" t="s">
        <v>171</v>
      </c>
      <c r="L1272" s="78">
        <v>1144.6790000000001</v>
      </c>
    </row>
    <row r="1273" spans="1:12">
      <c r="A1273" s="77">
        <v>119477</v>
      </c>
      <c r="B1273" s="77">
        <v>23936</v>
      </c>
      <c r="C1273" s="77" t="s">
        <v>180</v>
      </c>
      <c r="D1273" s="77">
        <v>2</v>
      </c>
      <c r="E1273" s="77">
        <v>2</v>
      </c>
      <c r="F1273" s="79">
        <f t="shared" si="19"/>
        <v>3785.7640000000001</v>
      </c>
      <c r="J1273" s="78">
        <v>23932</v>
      </c>
      <c r="K1273" s="78" t="s">
        <v>170</v>
      </c>
      <c r="L1273" s="78">
        <v>3785.7640000000001</v>
      </c>
    </row>
    <row r="1274" spans="1:12">
      <c r="A1274" s="77">
        <v>191168</v>
      </c>
      <c r="B1274" s="77">
        <v>23939</v>
      </c>
      <c r="C1274" s="77" t="s">
        <v>180</v>
      </c>
      <c r="D1274" s="77">
        <v>3.5</v>
      </c>
      <c r="E1274" s="77">
        <v>1</v>
      </c>
      <c r="F1274" s="79">
        <f t="shared" si="19"/>
        <v>2130.886</v>
      </c>
      <c r="J1274" s="78">
        <v>23933</v>
      </c>
      <c r="K1274" s="78" t="s">
        <v>170</v>
      </c>
      <c r="L1274" s="78">
        <v>3785.7640000000001</v>
      </c>
    </row>
    <row r="1275" spans="1:12">
      <c r="A1275" s="77">
        <v>113483</v>
      </c>
      <c r="B1275" s="77">
        <v>23946</v>
      </c>
      <c r="C1275" s="77" t="s">
        <v>180</v>
      </c>
      <c r="D1275" s="77">
        <v>1.8</v>
      </c>
      <c r="E1275" s="77">
        <v>2</v>
      </c>
      <c r="F1275" s="79">
        <f t="shared" si="19"/>
        <v>2079.9929999999999</v>
      </c>
      <c r="J1275" s="78">
        <v>23936</v>
      </c>
      <c r="K1275" s="78" t="s">
        <v>170</v>
      </c>
      <c r="L1275" s="78">
        <v>3785.7640000000001</v>
      </c>
    </row>
    <row r="1276" spans="1:12">
      <c r="A1276" s="77">
        <v>202014</v>
      </c>
      <c r="B1276" s="77">
        <v>23948</v>
      </c>
      <c r="C1276" s="77" t="s">
        <v>180</v>
      </c>
      <c r="D1276" s="77">
        <v>3.5</v>
      </c>
      <c r="E1276" s="77">
        <v>2</v>
      </c>
      <c r="F1276" s="79">
        <f t="shared" si="19"/>
        <v>1612.692</v>
      </c>
      <c r="J1276" s="78">
        <v>23939</v>
      </c>
      <c r="K1276" s="78" t="s">
        <v>171</v>
      </c>
      <c r="L1276" s="78">
        <v>2130.886</v>
      </c>
    </row>
    <row r="1277" spans="1:12">
      <c r="A1277" s="77">
        <v>213953</v>
      </c>
      <c r="B1277" s="77">
        <v>23952</v>
      </c>
      <c r="C1277" s="77" t="s">
        <v>180</v>
      </c>
      <c r="D1277" s="77">
        <v>2.8</v>
      </c>
      <c r="E1277" s="77">
        <v>1</v>
      </c>
      <c r="F1277" s="79">
        <f t="shared" si="19"/>
        <v>1612.692</v>
      </c>
      <c r="J1277" s="78">
        <v>23946</v>
      </c>
      <c r="K1277" s="78" t="s">
        <v>173</v>
      </c>
      <c r="L1277" s="78">
        <v>2079.9929999999999</v>
      </c>
    </row>
    <row r="1278" spans="1:12">
      <c r="A1278" s="77">
        <v>726057</v>
      </c>
      <c r="B1278" s="77">
        <v>23960</v>
      </c>
      <c r="C1278" s="77" t="s">
        <v>180</v>
      </c>
      <c r="D1278" s="77">
        <v>2</v>
      </c>
      <c r="E1278" s="77">
        <v>1</v>
      </c>
      <c r="F1278" s="79">
        <f t="shared" si="19"/>
        <v>1192.4649999999999</v>
      </c>
      <c r="J1278" s="78">
        <v>23948</v>
      </c>
      <c r="K1278" s="78" t="s">
        <v>172</v>
      </c>
      <c r="L1278" s="78">
        <v>1612.692</v>
      </c>
    </row>
    <row r="1279" spans="1:12">
      <c r="A1279" s="77">
        <v>226506</v>
      </c>
      <c r="B1279" s="77">
        <v>23965</v>
      </c>
      <c r="C1279" s="77" t="s">
        <v>180</v>
      </c>
      <c r="D1279" s="77">
        <v>5</v>
      </c>
      <c r="E1279" s="77">
        <v>2</v>
      </c>
      <c r="F1279" s="79">
        <f t="shared" si="19"/>
        <v>1904.288</v>
      </c>
      <c r="J1279" s="78">
        <v>23952</v>
      </c>
      <c r="K1279" s="78" t="s">
        <v>172</v>
      </c>
      <c r="L1279" s="78">
        <v>1612.692</v>
      </c>
    </row>
    <row r="1280" spans="1:12">
      <c r="A1280" s="77">
        <v>173799</v>
      </c>
      <c r="B1280" s="77">
        <v>23966</v>
      </c>
      <c r="C1280" s="77" t="s">
        <v>180</v>
      </c>
      <c r="D1280" s="77">
        <v>2</v>
      </c>
      <c r="E1280" s="77">
        <v>1</v>
      </c>
      <c r="F1280" s="79">
        <f t="shared" si="19"/>
        <v>3785.7640000000001</v>
      </c>
      <c r="J1280" s="78">
        <v>23960</v>
      </c>
      <c r="K1280" s="78" t="s">
        <v>170</v>
      </c>
      <c r="L1280" s="78">
        <v>1192.4649999999999</v>
      </c>
    </row>
    <row r="1281" spans="1:12">
      <c r="A1281" s="77">
        <v>164516</v>
      </c>
      <c r="B1281" s="77">
        <v>23972</v>
      </c>
      <c r="C1281" s="77" t="s">
        <v>180</v>
      </c>
      <c r="D1281" s="77">
        <v>2</v>
      </c>
      <c r="E1281" s="77">
        <v>1</v>
      </c>
      <c r="F1281" s="79">
        <f t="shared" si="19"/>
        <v>2130.886</v>
      </c>
      <c r="J1281" s="78">
        <v>23965</v>
      </c>
      <c r="K1281" s="78" t="s">
        <v>173</v>
      </c>
      <c r="L1281" s="78">
        <v>1904.288</v>
      </c>
    </row>
    <row r="1282" spans="1:12">
      <c r="A1282" s="77">
        <v>177215</v>
      </c>
      <c r="B1282" s="77">
        <v>23973</v>
      </c>
      <c r="C1282" s="77" t="s">
        <v>180</v>
      </c>
      <c r="D1282" s="77">
        <v>3</v>
      </c>
      <c r="E1282" s="77">
        <v>1</v>
      </c>
      <c r="F1282" s="79">
        <f t="shared" si="19"/>
        <v>1192.4649999999999</v>
      </c>
      <c r="J1282" s="78">
        <v>23966</v>
      </c>
      <c r="K1282" s="78" t="s">
        <v>170</v>
      </c>
      <c r="L1282" s="78">
        <v>3785.7640000000001</v>
      </c>
    </row>
    <row r="1283" spans="1:12">
      <c r="A1283" s="77">
        <v>190852</v>
      </c>
      <c r="B1283" s="77">
        <v>23986</v>
      </c>
      <c r="C1283" s="77" t="s">
        <v>180</v>
      </c>
      <c r="D1283" s="77">
        <v>2</v>
      </c>
      <c r="E1283" s="77">
        <v>2</v>
      </c>
      <c r="F1283" s="79">
        <f t="shared" ref="F1283:F1346" si="20">VLOOKUP(B1283,$J$2:$L$1405,3,FALSE)</f>
        <v>2130.886</v>
      </c>
      <c r="J1283" s="78">
        <v>23972</v>
      </c>
      <c r="K1283" s="78" t="s">
        <v>171</v>
      </c>
      <c r="L1283" s="78">
        <v>2130.886</v>
      </c>
    </row>
    <row r="1284" spans="1:12">
      <c r="A1284" s="77">
        <v>170406</v>
      </c>
      <c r="B1284" s="77">
        <v>23994</v>
      </c>
      <c r="C1284" s="77" t="s">
        <v>180</v>
      </c>
      <c r="D1284" s="77">
        <v>2</v>
      </c>
      <c r="E1284" s="77">
        <v>2</v>
      </c>
      <c r="F1284" s="79">
        <f t="shared" si="20"/>
        <v>3785.7640000000001</v>
      </c>
      <c r="J1284" s="78">
        <v>23973</v>
      </c>
      <c r="K1284" s="78" t="s">
        <v>170</v>
      </c>
      <c r="L1284" s="78">
        <v>1192.4649999999999</v>
      </c>
    </row>
    <row r="1285" spans="1:12">
      <c r="A1285" s="77">
        <v>122514</v>
      </c>
      <c r="B1285" s="77">
        <v>23995</v>
      </c>
      <c r="C1285" s="77" t="s">
        <v>180</v>
      </c>
      <c r="D1285" s="77">
        <v>1.5</v>
      </c>
      <c r="E1285" s="77">
        <v>3</v>
      </c>
      <c r="F1285" s="79">
        <f t="shared" si="20"/>
        <v>2130.886</v>
      </c>
      <c r="J1285" s="78">
        <v>23986</v>
      </c>
      <c r="K1285" s="78" t="s">
        <v>171</v>
      </c>
      <c r="L1285" s="78">
        <v>2130.886</v>
      </c>
    </row>
    <row r="1286" spans="1:12">
      <c r="A1286" s="77">
        <v>219951</v>
      </c>
      <c r="B1286" s="77">
        <v>24016</v>
      </c>
      <c r="C1286" s="77" t="s">
        <v>180</v>
      </c>
      <c r="D1286" s="77">
        <v>2.25</v>
      </c>
      <c r="E1286" s="77">
        <v>1</v>
      </c>
      <c r="F1286" s="79">
        <f t="shared" si="20"/>
        <v>12271.31</v>
      </c>
      <c r="J1286" s="78">
        <v>23994</v>
      </c>
      <c r="K1286" s="78" t="s">
        <v>170</v>
      </c>
      <c r="L1286" s="78">
        <v>3785.7640000000001</v>
      </c>
    </row>
    <row r="1287" spans="1:12">
      <c r="A1287" s="77">
        <v>122978</v>
      </c>
      <c r="B1287" s="77">
        <v>24027</v>
      </c>
      <c r="C1287" s="77" t="s">
        <v>180</v>
      </c>
      <c r="D1287" s="77">
        <v>2</v>
      </c>
      <c r="E1287" s="77">
        <v>1</v>
      </c>
      <c r="F1287" s="79">
        <f t="shared" si="20"/>
        <v>1925.059</v>
      </c>
      <c r="J1287" s="78">
        <v>23995</v>
      </c>
      <c r="K1287" s="78" t="s">
        <v>171</v>
      </c>
      <c r="L1287" s="78">
        <v>2130.886</v>
      </c>
    </row>
    <row r="1288" spans="1:12">
      <c r="A1288" s="77">
        <v>107634</v>
      </c>
      <c r="B1288" s="77">
        <v>24033</v>
      </c>
      <c r="C1288" s="77" t="s">
        <v>180</v>
      </c>
      <c r="D1288" s="77">
        <v>1.9</v>
      </c>
      <c r="E1288" s="77">
        <v>2</v>
      </c>
      <c r="F1288" s="79">
        <f t="shared" si="20"/>
        <v>2079.9929999999999</v>
      </c>
      <c r="J1288" s="78">
        <v>24016</v>
      </c>
      <c r="K1288" s="78" t="s">
        <v>173</v>
      </c>
      <c r="L1288" s="78">
        <v>12271.31</v>
      </c>
    </row>
    <row r="1289" spans="1:12">
      <c r="A1289" s="77">
        <v>231957</v>
      </c>
      <c r="B1289" s="77">
        <v>24040</v>
      </c>
      <c r="C1289" s="77" t="s">
        <v>180</v>
      </c>
      <c r="D1289" s="77">
        <v>1.75</v>
      </c>
      <c r="E1289" s="77">
        <v>2</v>
      </c>
      <c r="F1289" s="79">
        <f t="shared" si="20"/>
        <v>2079.9929999999999</v>
      </c>
      <c r="J1289" s="78">
        <v>24027</v>
      </c>
      <c r="K1289" s="78" t="s">
        <v>172</v>
      </c>
      <c r="L1289" s="78">
        <v>1925.059</v>
      </c>
    </row>
    <row r="1290" spans="1:12">
      <c r="A1290" s="77">
        <v>96984</v>
      </c>
      <c r="B1290" s="77">
        <v>24048</v>
      </c>
      <c r="C1290" s="77" t="s">
        <v>180</v>
      </c>
      <c r="D1290" s="77">
        <v>2.5</v>
      </c>
      <c r="E1290" s="77">
        <v>3</v>
      </c>
      <c r="F1290" s="79">
        <f t="shared" si="20"/>
        <v>3785.7640000000001</v>
      </c>
      <c r="J1290" s="78">
        <v>24033</v>
      </c>
      <c r="K1290" s="78" t="s">
        <v>173</v>
      </c>
      <c r="L1290" s="78">
        <v>2079.9929999999999</v>
      </c>
    </row>
    <row r="1291" spans="1:12">
      <c r="A1291" s="77">
        <v>235601</v>
      </c>
      <c r="B1291" s="77">
        <v>24083</v>
      </c>
      <c r="C1291" s="77" t="s">
        <v>180</v>
      </c>
      <c r="D1291" s="77">
        <v>3</v>
      </c>
      <c r="E1291" s="77">
        <v>1</v>
      </c>
      <c r="F1291" s="79">
        <f t="shared" si="20"/>
        <v>1904.288</v>
      </c>
      <c r="J1291" s="78">
        <v>24040</v>
      </c>
      <c r="K1291" s="78" t="s">
        <v>173</v>
      </c>
      <c r="L1291" s="78">
        <v>2079.9929999999999</v>
      </c>
    </row>
    <row r="1292" spans="1:12">
      <c r="A1292" s="77">
        <v>180302</v>
      </c>
      <c r="B1292" s="77">
        <v>24093</v>
      </c>
      <c r="C1292" s="77" t="s">
        <v>180</v>
      </c>
      <c r="D1292" s="77">
        <v>2.5</v>
      </c>
      <c r="E1292" s="77">
        <v>3</v>
      </c>
      <c r="F1292" s="79">
        <f t="shared" si="20"/>
        <v>1192.4649999999999</v>
      </c>
      <c r="J1292" s="78">
        <v>24048</v>
      </c>
      <c r="K1292" s="78" t="s">
        <v>170</v>
      </c>
      <c r="L1292" s="78">
        <v>3785.7640000000001</v>
      </c>
    </row>
    <row r="1293" spans="1:12">
      <c r="A1293" s="77">
        <v>802095</v>
      </c>
      <c r="B1293" s="77">
        <v>24119</v>
      </c>
      <c r="C1293" s="77" t="s">
        <v>180</v>
      </c>
      <c r="D1293" s="77">
        <v>2</v>
      </c>
      <c r="E1293" s="77">
        <v>1</v>
      </c>
      <c r="F1293" s="79">
        <f t="shared" si="20"/>
        <v>2079.9929999999999</v>
      </c>
      <c r="J1293" s="78">
        <v>24083</v>
      </c>
      <c r="K1293" s="78" t="s">
        <v>173</v>
      </c>
      <c r="L1293" s="78">
        <v>1904.288</v>
      </c>
    </row>
    <row r="1294" spans="1:12">
      <c r="A1294" s="77">
        <v>162525</v>
      </c>
      <c r="B1294" s="77">
        <v>24120</v>
      </c>
      <c r="C1294" s="77" t="s">
        <v>180</v>
      </c>
      <c r="D1294" s="77">
        <v>1.75</v>
      </c>
      <c r="E1294" s="77">
        <v>1</v>
      </c>
      <c r="F1294" s="79">
        <f t="shared" si="20"/>
        <v>2130.886</v>
      </c>
      <c r="J1294" s="78">
        <v>24093</v>
      </c>
      <c r="K1294" s="78" t="s">
        <v>170</v>
      </c>
      <c r="L1294" s="78">
        <v>1192.4649999999999</v>
      </c>
    </row>
    <row r="1295" spans="1:12">
      <c r="A1295" s="77">
        <v>80261</v>
      </c>
      <c r="B1295" s="77">
        <v>24151</v>
      </c>
      <c r="C1295" s="77" t="s">
        <v>180</v>
      </c>
      <c r="D1295" s="77">
        <v>2</v>
      </c>
      <c r="E1295" s="77">
        <v>1</v>
      </c>
      <c r="F1295" s="79">
        <f t="shared" si="20"/>
        <v>1925.059</v>
      </c>
      <c r="J1295" s="78">
        <v>24119</v>
      </c>
      <c r="K1295" s="78" t="s">
        <v>173</v>
      </c>
      <c r="L1295" s="78">
        <v>2079.9929999999999</v>
      </c>
    </row>
    <row r="1296" spans="1:12">
      <c r="A1296" s="77">
        <v>154929</v>
      </c>
      <c r="B1296" s="77">
        <v>24153</v>
      </c>
      <c r="C1296" s="77" t="s">
        <v>180</v>
      </c>
      <c r="D1296" s="77">
        <v>2.5</v>
      </c>
      <c r="E1296" s="77">
        <v>2</v>
      </c>
      <c r="F1296" s="79">
        <f t="shared" si="20"/>
        <v>1144.6790000000001</v>
      </c>
      <c r="J1296" s="78">
        <v>24120</v>
      </c>
      <c r="K1296" s="78" t="s">
        <v>171</v>
      </c>
      <c r="L1296" s="78">
        <v>2130.886</v>
      </c>
    </row>
    <row r="1297" spans="1:12">
      <c r="A1297" s="77">
        <v>113387</v>
      </c>
      <c r="B1297" s="77">
        <v>24158</v>
      </c>
      <c r="C1297" s="77" t="s">
        <v>180</v>
      </c>
      <c r="D1297" s="77">
        <v>2.8</v>
      </c>
      <c r="E1297" s="77">
        <v>1</v>
      </c>
      <c r="F1297" s="79">
        <f t="shared" si="20"/>
        <v>2079.9929999999999</v>
      </c>
      <c r="J1297" s="78">
        <v>24151</v>
      </c>
      <c r="K1297" s="78" t="s">
        <v>172</v>
      </c>
      <c r="L1297" s="78">
        <v>1925.059</v>
      </c>
    </row>
    <row r="1298" spans="1:12">
      <c r="A1298" s="77">
        <v>57683</v>
      </c>
      <c r="B1298" s="77">
        <v>24171</v>
      </c>
      <c r="C1298" s="77" t="s">
        <v>180</v>
      </c>
      <c r="D1298" s="77">
        <v>1.75</v>
      </c>
      <c r="E1298" s="77">
        <v>1</v>
      </c>
      <c r="F1298" s="79">
        <f t="shared" si="20"/>
        <v>2079.9929999999999</v>
      </c>
      <c r="J1298" s="78">
        <v>24153</v>
      </c>
      <c r="K1298" s="78" t="s">
        <v>171</v>
      </c>
      <c r="L1298" s="78">
        <v>1144.6790000000001</v>
      </c>
    </row>
    <row r="1299" spans="1:12">
      <c r="A1299" s="77">
        <v>212043</v>
      </c>
      <c r="B1299" s="77">
        <v>24184</v>
      </c>
      <c r="C1299" s="77" t="s">
        <v>180</v>
      </c>
      <c r="D1299" s="77">
        <v>1.5</v>
      </c>
      <c r="E1299" s="77">
        <v>3</v>
      </c>
      <c r="F1299" s="79">
        <f t="shared" si="20"/>
        <v>4360.1880000000001</v>
      </c>
      <c r="J1299" s="78">
        <v>24158</v>
      </c>
      <c r="K1299" s="78" t="s">
        <v>173</v>
      </c>
      <c r="L1299" s="78">
        <v>2079.9929999999999</v>
      </c>
    </row>
    <row r="1300" spans="1:12">
      <c r="A1300" s="77">
        <v>134606</v>
      </c>
      <c r="B1300" s="77">
        <v>24196</v>
      </c>
      <c r="C1300" s="77" t="s">
        <v>180</v>
      </c>
      <c r="D1300" s="77">
        <v>2.5</v>
      </c>
      <c r="E1300" s="77">
        <v>3</v>
      </c>
      <c r="F1300" s="79">
        <f t="shared" si="20"/>
        <v>1904.288</v>
      </c>
      <c r="J1300" s="78">
        <v>24171</v>
      </c>
      <c r="K1300" s="78" t="s">
        <v>173</v>
      </c>
      <c r="L1300" s="78">
        <v>2079.9929999999999</v>
      </c>
    </row>
    <row r="1301" spans="1:12">
      <c r="A1301" s="77">
        <v>240498</v>
      </c>
      <c r="B1301" s="77">
        <v>24202</v>
      </c>
      <c r="C1301" s="77" t="s">
        <v>180</v>
      </c>
      <c r="D1301" s="77">
        <v>2.5</v>
      </c>
      <c r="E1301" s="77">
        <v>1</v>
      </c>
      <c r="F1301" s="79">
        <f t="shared" si="20"/>
        <v>1192.4649999999999</v>
      </c>
      <c r="J1301" s="78">
        <v>24184</v>
      </c>
      <c r="K1301" s="78" t="s">
        <v>173</v>
      </c>
      <c r="L1301" s="78">
        <v>4360.1880000000001</v>
      </c>
    </row>
    <row r="1302" spans="1:12">
      <c r="A1302" s="77">
        <v>235477</v>
      </c>
      <c r="B1302" s="77">
        <v>24203</v>
      </c>
      <c r="C1302" s="77" t="s">
        <v>180</v>
      </c>
      <c r="D1302" s="77">
        <v>2</v>
      </c>
      <c r="E1302" s="77">
        <v>3</v>
      </c>
      <c r="F1302" s="79">
        <f t="shared" si="20"/>
        <v>1904.288</v>
      </c>
      <c r="J1302" s="78">
        <v>24196</v>
      </c>
      <c r="K1302" s="78" t="s">
        <v>173</v>
      </c>
      <c r="L1302" s="78">
        <v>1904.288</v>
      </c>
    </row>
    <row r="1303" spans="1:12">
      <c r="A1303" s="77">
        <v>126429</v>
      </c>
      <c r="B1303" s="77">
        <v>24205</v>
      </c>
      <c r="C1303" s="77" t="s">
        <v>180</v>
      </c>
      <c r="D1303" s="77">
        <v>2.25</v>
      </c>
      <c r="E1303" s="77">
        <v>4</v>
      </c>
      <c r="F1303" s="79">
        <f t="shared" si="20"/>
        <v>1192.4649999999999</v>
      </c>
      <c r="J1303" s="78">
        <v>24202</v>
      </c>
      <c r="K1303" s="78" t="s">
        <v>170</v>
      </c>
      <c r="L1303" s="78">
        <v>1192.4649999999999</v>
      </c>
    </row>
    <row r="1304" spans="1:12">
      <c r="A1304" s="77">
        <v>185981</v>
      </c>
      <c r="B1304" s="77">
        <v>24207</v>
      </c>
      <c r="C1304" s="77" t="s">
        <v>180</v>
      </c>
      <c r="D1304" s="77">
        <v>2</v>
      </c>
      <c r="E1304" s="77">
        <v>1</v>
      </c>
      <c r="F1304" s="79">
        <f t="shared" si="20"/>
        <v>1925.059</v>
      </c>
      <c r="J1304" s="78">
        <v>24203</v>
      </c>
      <c r="K1304" s="78" t="s">
        <v>173</v>
      </c>
      <c r="L1304" s="78">
        <v>1904.288</v>
      </c>
    </row>
    <row r="1305" spans="1:12">
      <c r="A1305" s="77">
        <v>98193</v>
      </c>
      <c r="B1305" s="77">
        <v>24209</v>
      </c>
      <c r="C1305" s="77" t="s">
        <v>180</v>
      </c>
      <c r="D1305" s="77">
        <v>2</v>
      </c>
      <c r="E1305" s="77">
        <v>2</v>
      </c>
      <c r="F1305" s="79">
        <f t="shared" si="20"/>
        <v>1904.288</v>
      </c>
      <c r="J1305" s="78">
        <v>24205</v>
      </c>
      <c r="K1305" s="78" t="s">
        <v>170</v>
      </c>
      <c r="L1305" s="78">
        <v>1192.4649999999999</v>
      </c>
    </row>
    <row r="1306" spans="1:12">
      <c r="A1306" s="77">
        <v>153592</v>
      </c>
      <c r="B1306" s="77">
        <v>24221</v>
      </c>
      <c r="C1306" s="77" t="s">
        <v>180</v>
      </c>
      <c r="D1306" s="77">
        <v>3</v>
      </c>
      <c r="E1306" s="77">
        <v>1</v>
      </c>
      <c r="F1306" s="79">
        <f t="shared" si="20"/>
        <v>1192.4649999999999</v>
      </c>
      <c r="J1306" s="78">
        <v>24207</v>
      </c>
      <c r="K1306" s="78" t="s">
        <v>172</v>
      </c>
      <c r="L1306" s="78">
        <v>1925.059</v>
      </c>
    </row>
    <row r="1307" spans="1:12">
      <c r="A1307" s="77">
        <v>110147</v>
      </c>
      <c r="B1307" s="77">
        <v>24224</v>
      </c>
      <c r="C1307" s="77" t="s">
        <v>180</v>
      </c>
      <c r="D1307" s="77">
        <v>2.5</v>
      </c>
      <c r="E1307" s="77">
        <v>2</v>
      </c>
      <c r="F1307" s="79">
        <f t="shared" si="20"/>
        <v>1904.288</v>
      </c>
      <c r="J1307" s="78">
        <v>24209</v>
      </c>
      <c r="K1307" s="78" t="s">
        <v>173</v>
      </c>
      <c r="L1307" s="78">
        <v>1904.288</v>
      </c>
    </row>
    <row r="1308" spans="1:12">
      <c r="A1308" s="77">
        <v>220979</v>
      </c>
      <c r="B1308" s="77">
        <v>24227</v>
      </c>
      <c r="C1308" s="77" t="s">
        <v>180</v>
      </c>
      <c r="D1308" s="77">
        <v>2.5</v>
      </c>
      <c r="E1308" s="77">
        <v>1</v>
      </c>
      <c r="F1308" s="79">
        <f t="shared" si="20"/>
        <v>2130.886</v>
      </c>
      <c r="J1308" s="78">
        <v>24221</v>
      </c>
      <c r="K1308" s="78" t="s">
        <v>170</v>
      </c>
      <c r="L1308" s="78">
        <v>1192.4649999999999</v>
      </c>
    </row>
    <row r="1309" spans="1:12">
      <c r="A1309" s="77">
        <v>238800</v>
      </c>
      <c r="B1309" s="77">
        <v>24232</v>
      </c>
      <c r="C1309" s="77" t="s">
        <v>180</v>
      </c>
      <c r="D1309" s="77">
        <v>2.2000000000000002</v>
      </c>
      <c r="E1309" s="77">
        <v>1</v>
      </c>
      <c r="F1309" s="79">
        <f t="shared" si="20"/>
        <v>2079.9929999999999</v>
      </c>
      <c r="J1309" s="78">
        <v>24224</v>
      </c>
      <c r="K1309" s="78" t="s">
        <v>173</v>
      </c>
      <c r="L1309" s="78">
        <v>1904.288</v>
      </c>
    </row>
    <row r="1310" spans="1:12">
      <c r="A1310" s="77">
        <v>190695</v>
      </c>
      <c r="B1310" s="77">
        <v>24242</v>
      </c>
      <c r="C1310" s="77" t="s">
        <v>180</v>
      </c>
      <c r="D1310" s="77">
        <v>1.5</v>
      </c>
      <c r="E1310" s="77">
        <v>1</v>
      </c>
      <c r="F1310" s="79">
        <f t="shared" si="20"/>
        <v>2130.886</v>
      </c>
      <c r="J1310" s="78">
        <v>24227</v>
      </c>
      <c r="K1310" s="78" t="s">
        <v>171</v>
      </c>
      <c r="L1310" s="78">
        <v>2130.886</v>
      </c>
    </row>
    <row r="1311" spans="1:12">
      <c r="A1311" s="77">
        <v>121950</v>
      </c>
      <c r="B1311" s="77">
        <v>24245</v>
      </c>
      <c r="C1311" s="77" t="s">
        <v>180</v>
      </c>
      <c r="D1311" s="77">
        <v>2.5</v>
      </c>
      <c r="E1311" s="77">
        <v>1</v>
      </c>
      <c r="F1311" s="79">
        <f t="shared" si="20"/>
        <v>1612.692</v>
      </c>
      <c r="J1311" s="78">
        <v>24232</v>
      </c>
      <c r="K1311" s="78" t="s">
        <v>173</v>
      </c>
      <c r="L1311" s="78">
        <v>2079.9929999999999</v>
      </c>
    </row>
    <row r="1312" spans="1:12">
      <c r="A1312" s="77">
        <v>129007</v>
      </c>
      <c r="B1312" s="77">
        <v>24246</v>
      </c>
      <c r="C1312" s="77" t="s">
        <v>180</v>
      </c>
      <c r="D1312" s="77">
        <v>2.5</v>
      </c>
      <c r="E1312" s="77">
        <v>1</v>
      </c>
      <c r="F1312" s="79">
        <f t="shared" si="20"/>
        <v>3785.7640000000001</v>
      </c>
      <c r="J1312" s="78">
        <v>24242</v>
      </c>
      <c r="K1312" s="78" t="s">
        <v>171</v>
      </c>
      <c r="L1312" s="78">
        <v>2130.886</v>
      </c>
    </row>
    <row r="1313" spans="1:12">
      <c r="A1313" s="77">
        <v>222803</v>
      </c>
      <c r="B1313" s="77">
        <v>24247</v>
      </c>
      <c r="C1313" s="77" t="s">
        <v>180</v>
      </c>
      <c r="D1313" s="77">
        <v>1.5</v>
      </c>
      <c r="E1313" s="77">
        <v>2</v>
      </c>
      <c r="F1313" s="79">
        <f t="shared" si="20"/>
        <v>1612.692</v>
      </c>
      <c r="J1313" s="78">
        <v>24245</v>
      </c>
      <c r="K1313" s="78" t="s">
        <v>172</v>
      </c>
      <c r="L1313" s="78">
        <v>1612.692</v>
      </c>
    </row>
    <row r="1314" spans="1:12">
      <c r="A1314" s="77">
        <v>110352</v>
      </c>
      <c r="B1314" s="77">
        <v>24249</v>
      </c>
      <c r="C1314" s="77" t="s">
        <v>180</v>
      </c>
      <c r="D1314" s="77">
        <v>2.5</v>
      </c>
      <c r="E1314" s="77">
        <v>2</v>
      </c>
      <c r="F1314" s="79">
        <f t="shared" si="20"/>
        <v>1904.288</v>
      </c>
      <c r="J1314" s="78">
        <v>24246</v>
      </c>
      <c r="K1314" s="78" t="s">
        <v>170</v>
      </c>
      <c r="L1314" s="78">
        <v>3785.7640000000001</v>
      </c>
    </row>
    <row r="1315" spans="1:12">
      <c r="A1315" s="77">
        <v>103645</v>
      </c>
      <c r="B1315" s="77">
        <v>24259</v>
      </c>
      <c r="C1315" s="77" t="s">
        <v>180</v>
      </c>
      <c r="D1315" s="77">
        <v>1.5</v>
      </c>
      <c r="E1315" s="77">
        <v>2</v>
      </c>
      <c r="F1315" s="79">
        <f t="shared" si="20"/>
        <v>1144.6790000000001</v>
      </c>
      <c r="J1315" s="78">
        <v>24247</v>
      </c>
      <c r="K1315" s="78" t="s">
        <v>172</v>
      </c>
      <c r="L1315" s="78">
        <v>1612.692</v>
      </c>
    </row>
    <row r="1316" spans="1:12">
      <c r="A1316" s="77">
        <v>44685</v>
      </c>
      <c r="B1316" s="77">
        <v>24266</v>
      </c>
      <c r="C1316" s="77" t="s">
        <v>180</v>
      </c>
      <c r="D1316" s="77">
        <v>4</v>
      </c>
      <c r="E1316" s="77">
        <v>2</v>
      </c>
      <c r="F1316" s="79">
        <f t="shared" si="20"/>
        <v>8264.9449999999997</v>
      </c>
      <c r="J1316" s="78">
        <v>24249</v>
      </c>
      <c r="K1316" s="78" t="s">
        <v>173</v>
      </c>
      <c r="L1316" s="78">
        <v>1904.288</v>
      </c>
    </row>
    <row r="1317" spans="1:12">
      <c r="A1317" s="77">
        <v>34166</v>
      </c>
      <c r="B1317" s="77">
        <v>24288</v>
      </c>
      <c r="C1317" s="77" t="s">
        <v>180</v>
      </c>
      <c r="D1317" s="77">
        <v>4</v>
      </c>
      <c r="E1317" s="77">
        <v>3</v>
      </c>
      <c r="F1317" s="79">
        <f t="shared" si="20"/>
        <v>2130.886</v>
      </c>
      <c r="J1317" s="78">
        <v>24259</v>
      </c>
      <c r="K1317" s="78" t="s">
        <v>171</v>
      </c>
      <c r="L1317" s="78">
        <v>1144.6790000000001</v>
      </c>
    </row>
    <row r="1318" spans="1:12">
      <c r="A1318" s="77">
        <v>80984</v>
      </c>
      <c r="B1318" s="77">
        <v>24296</v>
      </c>
      <c r="C1318" s="77" t="s">
        <v>180</v>
      </c>
      <c r="D1318" s="77">
        <v>1.75</v>
      </c>
      <c r="E1318" s="77">
        <v>2</v>
      </c>
      <c r="F1318" s="79">
        <f t="shared" si="20"/>
        <v>3785.7640000000001</v>
      </c>
      <c r="J1318" s="78">
        <v>24266</v>
      </c>
      <c r="K1318" s="78" t="s">
        <v>172</v>
      </c>
      <c r="L1318" s="78">
        <v>8264.9449999999997</v>
      </c>
    </row>
    <row r="1319" spans="1:12">
      <c r="A1319" s="77">
        <v>690065</v>
      </c>
      <c r="B1319" s="77">
        <v>24310</v>
      </c>
      <c r="C1319" s="77" t="s">
        <v>180</v>
      </c>
      <c r="D1319" s="77">
        <v>1.5</v>
      </c>
      <c r="E1319" s="77">
        <v>1</v>
      </c>
      <c r="F1319" s="79">
        <f t="shared" si="20"/>
        <v>1904.288</v>
      </c>
      <c r="J1319" s="78">
        <v>24288</v>
      </c>
      <c r="K1319" s="78" t="s">
        <v>171</v>
      </c>
      <c r="L1319" s="78">
        <v>2130.886</v>
      </c>
    </row>
    <row r="1320" spans="1:12">
      <c r="A1320" s="77">
        <v>783197</v>
      </c>
      <c r="B1320" s="77">
        <v>24311</v>
      </c>
      <c r="C1320" s="77" t="s">
        <v>180</v>
      </c>
      <c r="D1320" s="77">
        <v>2.5</v>
      </c>
      <c r="E1320" s="77">
        <v>1</v>
      </c>
      <c r="F1320" s="79">
        <f t="shared" si="20"/>
        <v>8264.9449999999997</v>
      </c>
      <c r="J1320" s="78">
        <v>24296</v>
      </c>
      <c r="K1320" s="78" t="s">
        <v>170</v>
      </c>
      <c r="L1320" s="78">
        <v>3785.7640000000001</v>
      </c>
    </row>
    <row r="1321" spans="1:12">
      <c r="A1321" s="77">
        <v>161561</v>
      </c>
      <c r="B1321" s="77">
        <v>24312</v>
      </c>
      <c r="C1321" s="77" t="s">
        <v>180</v>
      </c>
      <c r="D1321" s="77">
        <v>2.25</v>
      </c>
      <c r="E1321" s="77">
        <v>2</v>
      </c>
      <c r="F1321" s="79">
        <f t="shared" si="20"/>
        <v>2079.9929999999999</v>
      </c>
      <c r="J1321" s="78">
        <v>24310</v>
      </c>
      <c r="K1321" s="78" t="s">
        <v>173</v>
      </c>
      <c r="L1321" s="78">
        <v>1904.288</v>
      </c>
    </row>
    <row r="1322" spans="1:12">
      <c r="A1322" s="77">
        <v>95935</v>
      </c>
      <c r="B1322" s="77">
        <v>24317</v>
      </c>
      <c r="C1322" s="77" t="s">
        <v>180</v>
      </c>
      <c r="D1322" s="77">
        <v>3.3</v>
      </c>
      <c r="E1322" s="77">
        <v>2</v>
      </c>
      <c r="F1322" s="79">
        <f t="shared" si="20"/>
        <v>1144.6790000000001</v>
      </c>
      <c r="J1322" s="78">
        <v>24311</v>
      </c>
      <c r="K1322" s="78" t="s">
        <v>172</v>
      </c>
      <c r="L1322" s="78">
        <v>8264.9449999999997</v>
      </c>
    </row>
    <row r="1323" spans="1:12">
      <c r="A1323" s="77">
        <v>52012</v>
      </c>
      <c r="B1323" s="77">
        <v>24332</v>
      </c>
      <c r="C1323" s="77" t="s">
        <v>180</v>
      </c>
      <c r="D1323" s="77">
        <v>1.5</v>
      </c>
      <c r="E1323" s="77">
        <v>1</v>
      </c>
      <c r="F1323" s="79">
        <f t="shared" si="20"/>
        <v>2130.886</v>
      </c>
      <c r="J1323" s="78">
        <v>24312</v>
      </c>
      <c r="K1323" s="78" t="s">
        <v>173</v>
      </c>
      <c r="L1323" s="78">
        <v>2079.9929999999999</v>
      </c>
    </row>
    <row r="1324" spans="1:12">
      <c r="A1324" s="77">
        <v>112196</v>
      </c>
      <c r="B1324" s="77">
        <v>24341</v>
      </c>
      <c r="C1324" s="77" t="s">
        <v>180</v>
      </c>
      <c r="D1324" s="77">
        <v>2.5</v>
      </c>
      <c r="E1324" s="77">
        <v>2</v>
      </c>
      <c r="F1324" s="79">
        <f t="shared" si="20"/>
        <v>1904.288</v>
      </c>
      <c r="J1324" s="78">
        <v>24317</v>
      </c>
      <c r="K1324" s="78" t="s">
        <v>171</v>
      </c>
      <c r="L1324" s="78">
        <v>1144.6790000000001</v>
      </c>
    </row>
    <row r="1325" spans="1:12">
      <c r="A1325" s="77">
        <v>106218</v>
      </c>
      <c r="B1325" s="77">
        <v>24342</v>
      </c>
      <c r="C1325" s="77" t="s">
        <v>180</v>
      </c>
      <c r="D1325" s="77">
        <v>3.3</v>
      </c>
      <c r="E1325" s="77">
        <v>2</v>
      </c>
      <c r="F1325" s="79">
        <f t="shared" si="20"/>
        <v>2130.886</v>
      </c>
      <c r="J1325" s="78">
        <v>24332</v>
      </c>
      <c r="K1325" s="78" t="s">
        <v>171</v>
      </c>
      <c r="L1325" s="78">
        <v>2130.886</v>
      </c>
    </row>
    <row r="1326" spans="1:12">
      <c r="A1326" s="77">
        <v>128551</v>
      </c>
      <c r="B1326" s="77">
        <v>24347</v>
      </c>
      <c r="C1326" s="77" t="s">
        <v>180</v>
      </c>
      <c r="D1326" s="77">
        <v>2.5</v>
      </c>
      <c r="E1326" s="77">
        <v>2</v>
      </c>
      <c r="F1326" s="79">
        <f t="shared" si="20"/>
        <v>1904.288</v>
      </c>
      <c r="J1326" s="78">
        <v>24341</v>
      </c>
      <c r="K1326" s="78" t="s">
        <v>173</v>
      </c>
      <c r="L1326" s="78">
        <v>1904.288</v>
      </c>
    </row>
    <row r="1327" spans="1:12">
      <c r="A1327" s="77">
        <v>803441</v>
      </c>
      <c r="B1327" s="77">
        <v>24349</v>
      </c>
      <c r="C1327" s="77" t="s">
        <v>180</v>
      </c>
      <c r="D1327" s="77">
        <v>2.5</v>
      </c>
      <c r="E1327" s="77">
        <v>1</v>
      </c>
      <c r="F1327" s="79">
        <f t="shared" si="20"/>
        <v>8559.1039999999994</v>
      </c>
      <c r="J1327" s="78">
        <v>24342</v>
      </c>
      <c r="K1327" s="78" t="s">
        <v>171</v>
      </c>
      <c r="L1327" s="78">
        <v>2130.886</v>
      </c>
    </row>
    <row r="1328" spans="1:12">
      <c r="A1328" s="77">
        <v>95820</v>
      </c>
      <c r="B1328" s="77">
        <v>24351</v>
      </c>
      <c r="C1328" s="77" t="s">
        <v>180</v>
      </c>
      <c r="D1328" s="77">
        <v>2.6</v>
      </c>
      <c r="E1328" s="77">
        <v>2</v>
      </c>
      <c r="F1328" s="79">
        <f t="shared" si="20"/>
        <v>1144.6790000000001</v>
      </c>
      <c r="J1328" s="78">
        <v>24347</v>
      </c>
      <c r="K1328" s="78" t="s">
        <v>173</v>
      </c>
      <c r="L1328" s="78">
        <v>1904.288</v>
      </c>
    </row>
    <row r="1329" spans="1:12">
      <c r="A1329" s="77">
        <v>67714</v>
      </c>
      <c r="B1329" s="77">
        <v>24363</v>
      </c>
      <c r="C1329" s="77" t="s">
        <v>180</v>
      </c>
      <c r="D1329" s="77">
        <v>2.25</v>
      </c>
      <c r="E1329" s="77">
        <v>2</v>
      </c>
      <c r="F1329" s="79">
        <f t="shared" si="20"/>
        <v>3785.7640000000001</v>
      </c>
      <c r="J1329" s="78">
        <v>24349</v>
      </c>
      <c r="K1329" s="78" t="s">
        <v>172</v>
      </c>
      <c r="L1329" s="78">
        <v>8559.1039999999994</v>
      </c>
    </row>
    <row r="1330" spans="1:12">
      <c r="A1330" s="77">
        <v>690390</v>
      </c>
      <c r="B1330" s="77">
        <v>24366</v>
      </c>
      <c r="C1330" s="77" t="s">
        <v>180</v>
      </c>
      <c r="D1330" s="77">
        <v>2.75</v>
      </c>
      <c r="E1330" s="77">
        <v>1</v>
      </c>
      <c r="F1330" s="79">
        <f t="shared" si="20"/>
        <v>12271.31</v>
      </c>
      <c r="J1330" s="78">
        <v>24351</v>
      </c>
      <c r="K1330" s="78" t="s">
        <v>171</v>
      </c>
      <c r="L1330" s="78">
        <v>1144.6790000000001</v>
      </c>
    </row>
    <row r="1331" spans="1:12">
      <c r="A1331" s="77">
        <v>225718</v>
      </c>
      <c r="B1331" s="77">
        <v>24373</v>
      </c>
      <c r="C1331" s="77" t="s">
        <v>180</v>
      </c>
      <c r="D1331" s="77">
        <v>2.5</v>
      </c>
      <c r="E1331" s="77">
        <v>1</v>
      </c>
      <c r="F1331" s="79">
        <f t="shared" si="20"/>
        <v>1904.288</v>
      </c>
      <c r="J1331" s="78">
        <v>24363</v>
      </c>
      <c r="K1331" s="78" t="s">
        <v>170</v>
      </c>
      <c r="L1331" s="78">
        <v>3785.7640000000001</v>
      </c>
    </row>
    <row r="1332" spans="1:12">
      <c r="A1332" s="77">
        <v>669456</v>
      </c>
      <c r="B1332" s="77">
        <v>24375</v>
      </c>
      <c r="C1332" s="77" t="s">
        <v>180</v>
      </c>
      <c r="D1332" s="77">
        <v>2</v>
      </c>
      <c r="E1332" s="77">
        <v>2</v>
      </c>
      <c r="F1332" s="79">
        <f t="shared" si="20"/>
        <v>1612.692</v>
      </c>
      <c r="J1332" s="78">
        <v>24366</v>
      </c>
      <c r="K1332" s="78" t="s">
        <v>173</v>
      </c>
      <c r="L1332" s="78">
        <v>12271.31</v>
      </c>
    </row>
    <row r="1333" spans="1:12">
      <c r="A1333" s="77">
        <v>725915</v>
      </c>
      <c r="B1333" s="77">
        <v>24378</v>
      </c>
      <c r="C1333" s="77" t="s">
        <v>180</v>
      </c>
      <c r="D1333" s="77">
        <v>2.5</v>
      </c>
      <c r="E1333" s="77">
        <v>2</v>
      </c>
      <c r="F1333" s="79">
        <f t="shared" si="20"/>
        <v>12271.31</v>
      </c>
      <c r="J1333" s="78">
        <v>24373</v>
      </c>
      <c r="K1333" s="78" t="s">
        <v>173</v>
      </c>
      <c r="L1333" s="78">
        <v>1904.288</v>
      </c>
    </row>
    <row r="1334" spans="1:12">
      <c r="A1334" s="77">
        <v>168065</v>
      </c>
      <c r="B1334" s="77">
        <v>24398</v>
      </c>
      <c r="C1334" s="77" t="s">
        <v>180</v>
      </c>
      <c r="D1334" s="77">
        <v>1</v>
      </c>
      <c r="E1334" s="77">
        <v>2</v>
      </c>
      <c r="F1334" s="79">
        <f t="shared" si="20"/>
        <v>1612.692</v>
      </c>
      <c r="J1334" s="78">
        <v>24375</v>
      </c>
      <c r="K1334" s="78" t="s">
        <v>172</v>
      </c>
      <c r="L1334" s="78">
        <v>1612.692</v>
      </c>
    </row>
    <row r="1335" spans="1:12">
      <c r="A1335" s="77">
        <v>685558</v>
      </c>
      <c r="B1335" s="77">
        <v>24400</v>
      </c>
      <c r="C1335" s="77" t="s">
        <v>180</v>
      </c>
      <c r="D1335" s="77">
        <v>2</v>
      </c>
      <c r="E1335" s="77">
        <v>2</v>
      </c>
      <c r="F1335" s="79">
        <f t="shared" si="20"/>
        <v>1612.692</v>
      </c>
      <c r="J1335" s="78">
        <v>24378</v>
      </c>
      <c r="K1335" s="78" t="s">
        <v>173</v>
      </c>
      <c r="L1335" s="78">
        <v>12271.31</v>
      </c>
    </row>
    <row r="1336" spans="1:12">
      <c r="A1336" s="77">
        <v>130138</v>
      </c>
      <c r="B1336" s="77">
        <v>24401</v>
      </c>
      <c r="C1336" s="77" t="s">
        <v>180</v>
      </c>
      <c r="D1336" s="77">
        <v>2</v>
      </c>
      <c r="E1336" s="77">
        <v>1</v>
      </c>
      <c r="F1336" s="79">
        <f t="shared" si="20"/>
        <v>1612.692</v>
      </c>
      <c r="J1336" s="78">
        <v>24398</v>
      </c>
      <c r="K1336" s="78" t="s">
        <v>172</v>
      </c>
      <c r="L1336" s="78">
        <v>1612.692</v>
      </c>
    </row>
    <row r="1337" spans="1:12">
      <c r="A1337" s="77">
        <v>187057</v>
      </c>
      <c r="B1337" s="77">
        <v>24402</v>
      </c>
      <c r="C1337" s="77" t="s">
        <v>180</v>
      </c>
      <c r="D1337" s="77">
        <v>2</v>
      </c>
      <c r="E1337" s="77">
        <v>1</v>
      </c>
      <c r="F1337" s="79">
        <f t="shared" si="20"/>
        <v>4360.1880000000001</v>
      </c>
      <c r="J1337" s="78">
        <v>24400</v>
      </c>
      <c r="K1337" s="78" t="s">
        <v>172</v>
      </c>
      <c r="L1337" s="78">
        <v>1612.692</v>
      </c>
    </row>
    <row r="1338" spans="1:12">
      <c r="A1338" s="77">
        <v>170631</v>
      </c>
      <c r="B1338" s="77">
        <v>24408</v>
      </c>
      <c r="C1338" s="77" t="s">
        <v>180</v>
      </c>
      <c r="D1338" s="77">
        <v>2.5</v>
      </c>
      <c r="E1338" s="77">
        <v>2</v>
      </c>
      <c r="F1338" s="79">
        <f t="shared" si="20"/>
        <v>1612.692</v>
      </c>
      <c r="J1338" s="78">
        <v>24401</v>
      </c>
      <c r="K1338" s="78" t="s">
        <v>172</v>
      </c>
      <c r="L1338" s="78">
        <v>1612.692</v>
      </c>
    </row>
    <row r="1339" spans="1:12">
      <c r="A1339" s="77">
        <v>128405</v>
      </c>
      <c r="B1339" s="77">
        <v>24410</v>
      </c>
      <c r="C1339" s="77" t="s">
        <v>180</v>
      </c>
      <c r="D1339" s="77">
        <v>1.5</v>
      </c>
      <c r="E1339" s="77">
        <v>3</v>
      </c>
      <c r="F1339" s="79">
        <f t="shared" si="20"/>
        <v>1144.6790000000001</v>
      </c>
      <c r="J1339" s="78">
        <v>24402</v>
      </c>
      <c r="K1339" s="78" t="s">
        <v>173</v>
      </c>
      <c r="L1339" s="78">
        <v>4360.1880000000001</v>
      </c>
    </row>
    <row r="1340" spans="1:12">
      <c r="A1340" s="77">
        <v>205433</v>
      </c>
      <c r="B1340" s="77">
        <v>24417</v>
      </c>
      <c r="C1340" s="77" t="s">
        <v>180</v>
      </c>
      <c r="D1340" s="77">
        <v>2</v>
      </c>
      <c r="E1340" s="77">
        <v>1</v>
      </c>
      <c r="F1340" s="79">
        <f t="shared" si="20"/>
        <v>1904.288</v>
      </c>
      <c r="J1340" s="78">
        <v>24408</v>
      </c>
      <c r="K1340" s="78" t="s">
        <v>172</v>
      </c>
      <c r="L1340" s="78">
        <v>1612.692</v>
      </c>
    </row>
    <row r="1341" spans="1:12">
      <c r="A1341" s="77">
        <v>109257</v>
      </c>
      <c r="B1341" s="77">
        <v>24418</v>
      </c>
      <c r="C1341" s="77" t="s">
        <v>180</v>
      </c>
      <c r="D1341" s="77">
        <v>2.5</v>
      </c>
      <c r="E1341" s="77">
        <v>2</v>
      </c>
      <c r="F1341" s="79">
        <f t="shared" si="20"/>
        <v>1144.6790000000001</v>
      </c>
      <c r="J1341" s="78">
        <v>24410</v>
      </c>
      <c r="K1341" s="78" t="s">
        <v>171</v>
      </c>
      <c r="L1341" s="78">
        <v>1144.6790000000001</v>
      </c>
    </row>
    <row r="1342" spans="1:12">
      <c r="A1342" s="77">
        <v>222905</v>
      </c>
      <c r="B1342" s="77">
        <v>24419</v>
      </c>
      <c r="C1342" s="77" t="s">
        <v>180</v>
      </c>
      <c r="D1342" s="77">
        <v>1.4</v>
      </c>
      <c r="E1342" s="77">
        <v>2</v>
      </c>
      <c r="F1342" s="79">
        <f t="shared" si="20"/>
        <v>1612.692</v>
      </c>
      <c r="J1342" s="78">
        <v>24417</v>
      </c>
      <c r="K1342" s="78" t="s">
        <v>173</v>
      </c>
      <c r="L1342" s="78">
        <v>1904.288</v>
      </c>
    </row>
    <row r="1343" spans="1:12">
      <c r="A1343" s="77">
        <v>42103</v>
      </c>
      <c r="B1343" s="77">
        <v>24436</v>
      </c>
      <c r="C1343" s="77" t="s">
        <v>180</v>
      </c>
      <c r="D1343" s="77">
        <v>2</v>
      </c>
      <c r="E1343" s="77">
        <v>2</v>
      </c>
      <c r="F1343" s="79">
        <f t="shared" si="20"/>
        <v>2079.9929999999999</v>
      </c>
      <c r="J1343" s="78">
        <v>24418</v>
      </c>
      <c r="K1343" s="78" t="s">
        <v>171</v>
      </c>
      <c r="L1343" s="78">
        <v>1144.6790000000001</v>
      </c>
    </row>
    <row r="1344" spans="1:12">
      <c r="A1344" s="77">
        <v>70282</v>
      </c>
      <c r="B1344" s="77">
        <v>24445</v>
      </c>
      <c r="C1344" s="77" t="s">
        <v>180</v>
      </c>
      <c r="D1344" s="77">
        <v>2.5</v>
      </c>
      <c r="E1344" s="77">
        <v>2</v>
      </c>
      <c r="F1344" s="79">
        <f t="shared" si="20"/>
        <v>1904.288</v>
      </c>
      <c r="J1344" s="78">
        <v>24419</v>
      </c>
      <c r="K1344" s="78" t="s">
        <v>172</v>
      </c>
      <c r="L1344" s="78">
        <v>1612.692</v>
      </c>
    </row>
    <row r="1345" spans="1:12">
      <c r="A1345" s="77">
        <v>107827</v>
      </c>
      <c r="B1345" s="77">
        <v>24451</v>
      </c>
      <c r="C1345" s="77" t="s">
        <v>180</v>
      </c>
      <c r="D1345" s="77">
        <v>2.1</v>
      </c>
      <c r="E1345" s="77">
        <v>1</v>
      </c>
      <c r="F1345" s="79">
        <f t="shared" si="20"/>
        <v>2079.9929999999999</v>
      </c>
      <c r="J1345" s="78">
        <v>24436</v>
      </c>
      <c r="K1345" s="78" t="s">
        <v>173</v>
      </c>
      <c r="L1345" s="78">
        <v>2079.9929999999999</v>
      </c>
    </row>
    <row r="1346" spans="1:12">
      <c r="A1346" s="77">
        <v>143709</v>
      </c>
      <c r="B1346" s="77">
        <v>24456</v>
      </c>
      <c r="C1346" s="77" t="s">
        <v>180</v>
      </c>
      <c r="D1346" s="77">
        <v>3.25</v>
      </c>
      <c r="E1346" s="77">
        <v>2</v>
      </c>
      <c r="F1346" s="79">
        <f t="shared" si="20"/>
        <v>2130.886</v>
      </c>
      <c r="J1346" s="78">
        <v>24445</v>
      </c>
      <c r="K1346" s="78" t="s">
        <v>173</v>
      </c>
      <c r="L1346" s="78">
        <v>1904.288</v>
      </c>
    </row>
    <row r="1347" spans="1:12">
      <c r="A1347" s="77">
        <v>222696</v>
      </c>
      <c r="B1347" s="77">
        <v>24462</v>
      </c>
      <c r="C1347" s="77" t="s">
        <v>180</v>
      </c>
      <c r="D1347" s="77">
        <v>2.5</v>
      </c>
      <c r="E1347" s="77">
        <v>2</v>
      </c>
      <c r="F1347" s="79">
        <f t="shared" ref="F1347:F1403" si="21">VLOOKUP(B1347,$J$2:$L$1405,3,FALSE)</f>
        <v>3785.7640000000001</v>
      </c>
      <c r="J1347" s="78">
        <v>24451</v>
      </c>
      <c r="K1347" s="78" t="s">
        <v>173</v>
      </c>
      <c r="L1347" s="78">
        <v>2079.9929999999999</v>
      </c>
    </row>
    <row r="1348" spans="1:12">
      <c r="A1348" s="77">
        <v>187583</v>
      </c>
      <c r="B1348" s="77">
        <v>24467</v>
      </c>
      <c r="C1348" s="77" t="s">
        <v>180</v>
      </c>
      <c r="D1348" s="77">
        <v>2.75</v>
      </c>
      <c r="E1348" s="77">
        <v>3</v>
      </c>
      <c r="F1348" s="79">
        <f t="shared" si="21"/>
        <v>1612.692</v>
      </c>
      <c r="J1348" s="78">
        <v>24456</v>
      </c>
      <c r="K1348" s="78" t="s">
        <v>171</v>
      </c>
      <c r="L1348" s="78">
        <v>2130.886</v>
      </c>
    </row>
    <row r="1349" spans="1:12">
      <c r="A1349" s="77">
        <v>175639</v>
      </c>
      <c r="B1349" s="77">
        <v>24479</v>
      </c>
      <c r="C1349" s="77" t="s">
        <v>180</v>
      </c>
      <c r="D1349" s="77">
        <v>2</v>
      </c>
      <c r="E1349" s="77">
        <v>1</v>
      </c>
      <c r="F1349" s="79">
        <f t="shared" si="21"/>
        <v>8264.9449999999997</v>
      </c>
      <c r="J1349" s="78">
        <v>24462</v>
      </c>
      <c r="K1349" s="78" t="s">
        <v>170</v>
      </c>
      <c r="L1349" s="78">
        <v>3785.7640000000001</v>
      </c>
    </row>
    <row r="1350" spans="1:12">
      <c r="A1350" s="77">
        <v>57812</v>
      </c>
      <c r="B1350" s="77">
        <v>24488</v>
      </c>
      <c r="C1350" s="77" t="s">
        <v>180</v>
      </c>
      <c r="D1350" s="77">
        <v>1.5</v>
      </c>
      <c r="E1350" s="77">
        <v>2</v>
      </c>
      <c r="F1350" s="79">
        <f t="shared" si="21"/>
        <v>2079.9929999999999</v>
      </c>
      <c r="J1350" s="78">
        <v>24467</v>
      </c>
      <c r="K1350" s="78" t="s">
        <v>172</v>
      </c>
      <c r="L1350" s="78">
        <v>1612.692</v>
      </c>
    </row>
    <row r="1351" spans="1:12">
      <c r="A1351" s="77">
        <v>680338</v>
      </c>
      <c r="B1351" s="77">
        <v>24495</v>
      </c>
      <c r="C1351" s="77" t="s">
        <v>180</v>
      </c>
      <c r="D1351" s="77">
        <v>2</v>
      </c>
      <c r="E1351" s="77">
        <v>1</v>
      </c>
      <c r="F1351" s="79">
        <f t="shared" si="21"/>
        <v>4360.1880000000001</v>
      </c>
      <c r="J1351" s="78">
        <v>24479</v>
      </c>
      <c r="K1351" s="78" t="s">
        <v>172</v>
      </c>
      <c r="L1351" s="78">
        <v>8264.9449999999997</v>
      </c>
    </row>
    <row r="1352" spans="1:12">
      <c r="A1352" s="77">
        <v>192612</v>
      </c>
      <c r="B1352" s="77">
        <v>24499</v>
      </c>
      <c r="C1352" s="77" t="s">
        <v>180</v>
      </c>
      <c r="D1352" s="77">
        <v>1.75</v>
      </c>
      <c r="E1352" s="77">
        <v>1</v>
      </c>
      <c r="F1352" s="79">
        <f t="shared" si="21"/>
        <v>1192.4649999999999</v>
      </c>
      <c r="J1352" s="78">
        <v>24488</v>
      </c>
      <c r="K1352" s="78" t="s">
        <v>173</v>
      </c>
      <c r="L1352" s="78">
        <v>2079.9929999999999</v>
      </c>
    </row>
    <row r="1353" spans="1:12">
      <c r="A1353" s="77">
        <v>163134</v>
      </c>
      <c r="B1353" s="77">
        <v>24500</v>
      </c>
      <c r="C1353" s="77" t="s">
        <v>180</v>
      </c>
      <c r="D1353" s="77">
        <v>2.5</v>
      </c>
      <c r="E1353" s="77">
        <v>1</v>
      </c>
      <c r="F1353" s="79">
        <f t="shared" si="21"/>
        <v>1192.4649999999999</v>
      </c>
      <c r="J1353" s="78">
        <v>24495</v>
      </c>
      <c r="K1353" s="78" t="s">
        <v>173</v>
      </c>
      <c r="L1353" s="78">
        <v>4360.1880000000001</v>
      </c>
    </row>
    <row r="1354" spans="1:12">
      <c r="A1354" s="77">
        <v>226033</v>
      </c>
      <c r="B1354" s="77">
        <v>24510</v>
      </c>
      <c r="C1354" s="77" t="s">
        <v>180</v>
      </c>
      <c r="D1354" s="77">
        <v>2.25</v>
      </c>
      <c r="E1354" s="77">
        <v>2</v>
      </c>
      <c r="F1354" s="79">
        <f t="shared" si="21"/>
        <v>1904.288</v>
      </c>
      <c r="J1354" s="78">
        <v>24499</v>
      </c>
      <c r="K1354" s="78" t="s">
        <v>170</v>
      </c>
      <c r="L1354" s="78">
        <v>1192.4649999999999</v>
      </c>
    </row>
    <row r="1355" spans="1:12">
      <c r="A1355" s="77">
        <v>68989</v>
      </c>
      <c r="B1355" s="77">
        <v>24521</v>
      </c>
      <c r="C1355" s="77" t="s">
        <v>180</v>
      </c>
      <c r="D1355" s="77">
        <v>3.1</v>
      </c>
      <c r="E1355" s="77">
        <v>1</v>
      </c>
      <c r="F1355" s="79">
        <f t="shared" si="21"/>
        <v>2130.886</v>
      </c>
      <c r="J1355" s="78">
        <v>24500</v>
      </c>
      <c r="K1355" s="78" t="s">
        <v>170</v>
      </c>
      <c r="L1355" s="78">
        <v>1192.4649999999999</v>
      </c>
    </row>
    <row r="1356" spans="1:12">
      <c r="A1356" s="77">
        <v>123952</v>
      </c>
      <c r="B1356" s="77">
        <v>24522</v>
      </c>
      <c r="C1356" s="77" t="s">
        <v>180</v>
      </c>
      <c r="D1356" s="77">
        <v>1.5</v>
      </c>
      <c r="E1356" s="77">
        <v>1</v>
      </c>
      <c r="F1356" s="79">
        <f t="shared" si="21"/>
        <v>2079.9929999999999</v>
      </c>
      <c r="J1356" s="78">
        <v>24510</v>
      </c>
      <c r="K1356" s="78" t="s">
        <v>173</v>
      </c>
      <c r="L1356" s="78">
        <v>1904.288</v>
      </c>
    </row>
    <row r="1357" spans="1:12">
      <c r="A1357" s="77">
        <v>80344</v>
      </c>
      <c r="B1357" s="77">
        <v>24524</v>
      </c>
      <c r="C1357" s="77" t="s">
        <v>180</v>
      </c>
      <c r="D1357" s="77">
        <v>2.5</v>
      </c>
      <c r="E1357" s="77">
        <v>1</v>
      </c>
      <c r="F1357" s="79">
        <f t="shared" si="21"/>
        <v>1925.059</v>
      </c>
      <c r="J1357" s="78">
        <v>24521</v>
      </c>
      <c r="K1357" s="78" t="s">
        <v>171</v>
      </c>
      <c r="L1357" s="78">
        <v>2130.886</v>
      </c>
    </row>
    <row r="1358" spans="1:12">
      <c r="A1358" s="77">
        <v>152114</v>
      </c>
      <c r="B1358" s="77">
        <v>24533</v>
      </c>
      <c r="C1358" s="77" t="s">
        <v>180</v>
      </c>
      <c r="D1358" s="77">
        <v>2.5</v>
      </c>
      <c r="E1358" s="77">
        <v>2</v>
      </c>
      <c r="F1358" s="79">
        <f t="shared" si="21"/>
        <v>1612.692</v>
      </c>
      <c r="J1358" s="78">
        <v>24522</v>
      </c>
      <c r="K1358" s="78" t="s">
        <v>173</v>
      </c>
      <c r="L1358" s="78">
        <v>2079.9929999999999</v>
      </c>
    </row>
    <row r="1359" spans="1:12">
      <c r="A1359" s="77">
        <v>185740</v>
      </c>
      <c r="B1359" s="77">
        <v>24536</v>
      </c>
      <c r="C1359" s="77" t="s">
        <v>180</v>
      </c>
      <c r="D1359" s="77">
        <v>2.5</v>
      </c>
      <c r="E1359" s="77">
        <v>1</v>
      </c>
      <c r="F1359" s="79">
        <f t="shared" si="21"/>
        <v>1192.4649999999999</v>
      </c>
      <c r="J1359" s="78">
        <v>24524</v>
      </c>
      <c r="K1359" s="78" t="s">
        <v>172</v>
      </c>
      <c r="L1359" s="78">
        <v>1925.059</v>
      </c>
    </row>
    <row r="1360" spans="1:12">
      <c r="A1360" s="77">
        <v>165515</v>
      </c>
      <c r="B1360" s="77">
        <v>24540</v>
      </c>
      <c r="C1360" s="77" t="s">
        <v>180</v>
      </c>
      <c r="D1360" s="77">
        <v>1.8</v>
      </c>
      <c r="E1360" s="77">
        <v>2</v>
      </c>
      <c r="F1360" s="79">
        <f t="shared" si="21"/>
        <v>1612.692</v>
      </c>
      <c r="J1360" s="78">
        <v>24533</v>
      </c>
      <c r="K1360" s="78" t="s">
        <v>172</v>
      </c>
      <c r="L1360" s="78">
        <v>1612.692</v>
      </c>
    </row>
    <row r="1361" spans="1:12">
      <c r="A1361" s="77">
        <v>101977</v>
      </c>
      <c r="B1361" s="77">
        <v>24547</v>
      </c>
      <c r="C1361" s="77" t="s">
        <v>180</v>
      </c>
      <c r="D1361" s="77">
        <v>2.1</v>
      </c>
      <c r="E1361" s="77">
        <v>2</v>
      </c>
      <c r="F1361" s="79">
        <f t="shared" si="21"/>
        <v>1144.6790000000001</v>
      </c>
      <c r="J1361" s="78">
        <v>24536</v>
      </c>
      <c r="K1361" s="78" t="s">
        <v>170</v>
      </c>
      <c r="L1361" s="78">
        <v>1192.4649999999999</v>
      </c>
    </row>
    <row r="1362" spans="1:12">
      <c r="A1362" s="77">
        <v>46915</v>
      </c>
      <c r="B1362" s="77">
        <v>24550</v>
      </c>
      <c r="C1362" s="77" t="s">
        <v>180</v>
      </c>
      <c r="D1362" s="77">
        <v>3.6</v>
      </c>
      <c r="E1362" s="77">
        <v>2</v>
      </c>
      <c r="F1362" s="79">
        <f t="shared" si="21"/>
        <v>8264.9449999999997</v>
      </c>
      <c r="J1362" s="78">
        <v>24540</v>
      </c>
      <c r="K1362" s="78" t="s">
        <v>172</v>
      </c>
      <c r="L1362" s="78">
        <v>1612.692</v>
      </c>
    </row>
    <row r="1363" spans="1:12">
      <c r="A1363" s="77">
        <v>179505</v>
      </c>
      <c r="B1363" s="77">
        <v>24551</v>
      </c>
      <c r="C1363" s="77" t="s">
        <v>180</v>
      </c>
      <c r="D1363" s="77">
        <v>2</v>
      </c>
      <c r="E1363" s="77">
        <v>2</v>
      </c>
      <c r="F1363" s="79">
        <f t="shared" si="21"/>
        <v>2130.886</v>
      </c>
      <c r="J1363" s="78">
        <v>24547</v>
      </c>
      <c r="K1363" s="78" t="s">
        <v>171</v>
      </c>
      <c r="L1363" s="78">
        <v>1144.6790000000001</v>
      </c>
    </row>
    <row r="1364" spans="1:12">
      <c r="A1364" s="77">
        <v>79999</v>
      </c>
      <c r="B1364" s="77">
        <v>24553</v>
      </c>
      <c r="C1364" s="77" t="s">
        <v>180</v>
      </c>
      <c r="D1364" s="77">
        <v>2.5</v>
      </c>
      <c r="E1364" s="77">
        <v>2</v>
      </c>
      <c r="F1364" s="79">
        <f t="shared" si="21"/>
        <v>1925.059</v>
      </c>
      <c r="J1364" s="78">
        <v>24550</v>
      </c>
      <c r="K1364" s="78" t="s">
        <v>172</v>
      </c>
      <c r="L1364" s="78">
        <v>8264.9449999999997</v>
      </c>
    </row>
    <row r="1365" spans="1:12">
      <c r="A1365" s="77">
        <v>163967</v>
      </c>
      <c r="B1365" s="77">
        <v>24559</v>
      </c>
      <c r="C1365" s="77" t="s">
        <v>180</v>
      </c>
      <c r="D1365" s="77">
        <v>2.75</v>
      </c>
      <c r="E1365" s="77">
        <v>2</v>
      </c>
      <c r="F1365" s="79">
        <f t="shared" si="21"/>
        <v>2130.886</v>
      </c>
      <c r="J1365" s="78">
        <v>24551</v>
      </c>
      <c r="K1365" s="78" t="s">
        <v>171</v>
      </c>
      <c r="L1365" s="78">
        <v>2130.886</v>
      </c>
    </row>
    <row r="1366" spans="1:12">
      <c r="A1366" s="77">
        <v>222586</v>
      </c>
      <c r="B1366" s="77">
        <v>24563</v>
      </c>
      <c r="C1366" s="77" t="s">
        <v>180</v>
      </c>
      <c r="D1366" s="77">
        <v>2</v>
      </c>
      <c r="E1366" s="77">
        <v>1</v>
      </c>
      <c r="F1366" s="79">
        <f t="shared" si="21"/>
        <v>3785.7640000000001</v>
      </c>
      <c r="J1366" s="78">
        <v>24553</v>
      </c>
      <c r="K1366" s="78" t="s">
        <v>172</v>
      </c>
      <c r="L1366" s="78">
        <v>1925.059</v>
      </c>
    </row>
    <row r="1367" spans="1:12">
      <c r="A1367" s="77">
        <v>171083</v>
      </c>
      <c r="B1367" s="77">
        <v>24572</v>
      </c>
      <c r="C1367" s="77" t="s">
        <v>180</v>
      </c>
      <c r="D1367" s="77">
        <v>2</v>
      </c>
      <c r="E1367" s="77">
        <v>1</v>
      </c>
      <c r="F1367" s="79">
        <f t="shared" si="21"/>
        <v>4360.1880000000001</v>
      </c>
      <c r="J1367" s="78">
        <v>24559</v>
      </c>
      <c r="K1367" s="78" t="s">
        <v>171</v>
      </c>
      <c r="L1367" s="78">
        <v>2130.886</v>
      </c>
    </row>
    <row r="1368" spans="1:12">
      <c r="A1368" s="77">
        <v>131893</v>
      </c>
      <c r="B1368" s="77">
        <v>24594</v>
      </c>
      <c r="C1368" s="77" t="s">
        <v>180</v>
      </c>
      <c r="D1368" s="77">
        <v>2</v>
      </c>
      <c r="E1368" s="77">
        <v>2</v>
      </c>
      <c r="F1368" s="79">
        <f t="shared" si="21"/>
        <v>1612.692</v>
      </c>
      <c r="J1368" s="78">
        <v>24563</v>
      </c>
      <c r="K1368" s="78" t="s">
        <v>170</v>
      </c>
      <c r="L1368" s="78">
        <v>3785.7640000000001</v>
      </c>
    </row>
    <row r="1369" spans="1:12">
      <c r="A1369" s="77">
        <v>156822</v>
      </c>
      <c r="B1369" s="77">
        <v>24607</v>
      </c>
      <c r="C1369" s="77" t="s">
        <v>180</v>
      </c>
      <c r="D1369" s="77">
        <v>2.5</v>
      </c>
      <c r="E1369" s="77">
        <v>1</v>
      </c>
      <c r="F1369" s="79">
        <f t="shared" si="21"/>
        <v>1192.4649999999999</v>
      </c>
      <c r="J1369" s="78">
        <v>24572</v>
      </c>
      <c r="K1369" s="78" t="s">
        <v>173</v>
      </c>
      <c r="L1369" s="78">
        <v>4360.1880000000001</v>
      </c>
    </row>
    <row r="1370" spans="1:12">
      <c r="A1370" s="77">
        <v>223977</v>
      </c>
      <c r="B1370" s="77">
        <v>24614</v>
      </c>
      <c r="C1370" s="77" t="s">
        <v>180</v>
      </c>
      <c r="D1370" s="77">
        <v>3</v>
      </c>
      <c r="E1370" s="77">
        <v>2</v>
      </c>
      <c r="F1370" s="79">
        <f t="shared" si="21"/>
        <v>2079.9929999999999</v>
      </c>
      <c r="J1370" s="78">
        <v>24594</v>
      </c>
      <c r="K1370" s="78" t="s">
        <v>172</v>
      </c>
      <c r="L1370" s="78">
        <v>1612.692</v>
      </c>
    </row>
    <row r="1371" spans="1:12">
      <c r="A1371" s="77">
        <v>176920</v>
      </c>
      <c r="B1371" s="77">
        <v>24622</v>
      </c>
      <c r="C1371" s="77" t="s">
        <v>180</v>
      </c>
      <c r="D1371" s="77">
        <v>3</v>
      </c>
      <c r="E1371" s="77">
        <v>1</v>
      </c>
      <c r="F1371" s="79">
        <f t="shared" si="21"/>
        <v>2130.886</v>
      </c>
      <c r="J1371" s="78">
        <v>24607</v>
      </c>
      <c r="K1371" s="78" t="s">
        <v>170</v>
      </c>
      <c r="L1371" s="78">
        <v>1192.4649999999999</v>
      </c>
    </row>
    <row r="1372" spans="1:12">
      <c r="A1372" s="77">
        <v>204176</v>
      </c>
      <c r="B1372" s="77">
        <v>24623</v>
      </c>
      <c r="C1372" s="77" t="s">
        <v>180</v>
      </c>
      <c r="D1372" s="77">
        <v>3</v>
      </c>
      <c r="E1372" s="77">
        <v>3</v>
      </c>
      <c r="F1372" s="79">
        <f t="shared" si="21"/>
        <v>1612.692</v>
      </c>
      <c r="J1372" s="78">
        <v>24614</v>
      </c>
      <c r="K1372" s="78" t="s">
        <v>173</v>
      </c>
      <c r="L1372" s="78">
        <v>2079.9929999999999</v>
      </c>
    </row>
    <row r="1373" spans="1:12">
      <c r="A1373" s="77">
        <v>188536</v>
      </c>
      <c r="B1373" s="77">
        <v>24647</v>
      </c>
      <c r="C1373" s="77" t="s">
        <v>180</v>
      </c>
      <c r="D1373" s="77">
        <v>2.75</v>
      </c>
      <c r="E1373" s="77">
        <v>1</v>
      </c>
      <c r="F1373" s="79">
        <f t="shared" si="21"/>
        <v>1904.288</v>
      </c>
      <c r="J1373" s="78">
        <v>24622</v>
      </c>
      <c r="K1373" s="78" t="s">
        <v>171</v>
      </c>
      <c r="L1373" s="78">
        <v>2130.886</v>
      </c>
    </row>
    <row r="1374" spans="1:12">
      <c r="A1374" s="77">
        <v>89647</v>
      </c>
      <c r="B1374" s="77">
        <v>24655</v>
      </c>
      <c r="C1374" s="77" t="s">
        <v>180</v>
      </c>
      <c r="D1374" s="77">
        <v>2.6</v>
      </c>
      <c r="E1374" s="77">
        <v>1</v>
      </c>
      <c r="F1374" s="79">
        <f t="shared" si="21"/>
        <v>1144.6790000000001</v>
      </c>
      <c r="J1374" s="78">
        <v>24623</v>
      </c>
      <c r="K1374" s="78" t="s">
        <v>172</v>
      </c>
      <c r="L1374" s="78">
        <v>1612.692</v>
      </c>
    </row>
    <row r="1375" spans="1:12">
      <c r="A1375" s="77">
        <v>58070</v>
      </c>
      <c r="B1375" s="77">
        <v>24662</v>
      </c>
      <c r="C1375" s="77" t="s">
        <v>180</v>
      </c>
      <c r="D1375" s="77">
        <v>1.5</v>
      </c>
      <c r="E1375" s="77">
        <v>2</v>
      </c>
      <c r="F1375" s="79">
        <f t="shared" si="21"/>
        <v>2079.9929999999999</v>
      </c>
      <c r="J1375" s="78">
        <v>24647</v>
      </c>
      <c r="K1375" s="78" t="s">
        <v>173</v>
      </c>
      <c r="L1375" s="78">
        <v>1904.288</v>
      </c>
    </row>
    <row r="1376" spans="1:12">
      <c r="A1376" s="77">
        <v>88783</v>
      </c>
      <c r="B1376" s="77">
        <v>24671</v>
      </c>
      <c r="C1376" s="77" t="s">
        <v>180</v>
      </c>
      <c r="D1376" s="77">
        <v>2.5</v>
      </c>
      <c r="E1376" s="77">
        <v>1</v>
      </c>
      <c r="F1376" s="79">
        <f t="shared" si="21"/>
        <v>1925.059</v>
      </c>
      <c r="J1376" s="78">
        <v>24655</v>
      </c>
      <c r="K1376" s="78" t="s">
        <v>171</v>
      </c>
      <c r="L1376" s="78">
        <v>1144.6790000000001</v>
      </c>
    </row>
    <row r="1377" spans="1:12">
      <c r="A1377" s="77">
        <v>162696</v>
      </c>
      <c r="B1377" s="77">
        <v>24672</v>
      </c>
      <c r="C1377" s="77" t="s">
        <v>180</v>
      </c>
      <c r="D1377" s="77">
        <v>2</v>
      </c>
      <c r="E1377" s="77">
        <v>3</v>
      </c>
      <c r="F1377" s="79">
        <f t="shared" si="21"/>
        <v>3785.7640000000001</v>
      </c>
      <c r="J1377" s="78">
        <v>24662</v>
      </c>
      <c r="K1377" s="78" t="s">
        <v>173</v>
      </c>
      <c r="L1377" s="78">
        <v>2079.9929999999999</v>
      </c>
    </row>
    <row r="1378" spans="1:12">
      <c r="A1378" s="77">
        <v>676108</v>
      </c>
      <c r="B1378" s="77">
        <v>24684</v>
      </c>
      <c r="C1378" s="77" t="s">
        <v>180</v>
      </c>
      <c r="D1378" s="77">
        <v>2.25</v>
      </c>
      <c r="E1378" s="77">
        <v>2</v>
      </c>
      <c r="F1378" s="79">
        <f t="shared" si="21"/>
        <v>1904.288</v>
      </c>
      <c r="J1378" s="78">
        <v>24671</v>
      </c>
      <c r="K1378" s="78" t="s">
        <v>172</v>
      </c>
      <c r="L1378" s="78">
        <v>1925.059</v>
      </c>
    </row>
    <row r="1379" spans="1:12">
      <c r="A1379" s="77">
        <v>87060</v>
      </c>
      <c r="B1379" s="77">
        <v>24686</v>
      </c>
      <c r="C1379" s="77" t="s">
        <v>180</v>
      </c>
      <c r="D1379" s="77">
        <v>1.5</v>
      </c>
      <c r="E1379" s="77">
        <v>1</v>
      </c>
      <c r="F1379" s="79">
        <f t="shared" si="21"/>
        <v>1144.6790000000001</v>
      </c>
      <c r="J1379" s="78">
        <v>24672</v>
      </c>
      <c r="K1379" s="78" t="s">
        <v>170</v>
      </c>
      <c r="L1379" s="78">
        <v>3785.7640000000001</v>
      </c>
    </row>
    <row r="1380" spans="1:12">
      <c r="A1380" s="77">
        <v>114571</v>
      </c>
      <c r="B1380" s="77">
        <v>24689</v>
      </c>
      <c r="C1380" s="77" t="s">
        <v>180</v>
      </c>
      <c r="D1380" s="77">
        <v>2.5</v>
      </c>
      <c r="E1380" s="77">
        <v>2</v>
      </c>
      <c r="F1380" s="79">
        <f t="shared" si="21"/>
        <v>1904.288</v>
      </c>
      <c r="J1380" s="78">
        <v>24684</v>
      </c>
      <c r="K1380" s="78" t="s">
        <v>173</v>
      </c>
      <c r="L1380" s="78">
        <v>1904.288</v>
      </c>
    </row>
    <row r="1381" spans="1:12">
      <c r="A1381" s="77">
        <v>107743</v>
      </c>
      <c r="B1381" s="77">
        <v>24696</v>
      </c>
      <c r="C1381" s="77" t="s">
        <v>180</v>
      </c>
      <c r="D1381" s="77">
        <v>1.2</v>
      </c>
      <c r="E1381" s="77">
        <v>1</v>
      </c>
      <c r="F1381" s="79">
        <f t="shared" si="21"/>
        <v>2079.9929999999999</v>
      </c>
      <c r="J1381" s="78">
        <v>24686</v>
      </c>
      <c r="K1381" s="78" t="s">
        <v>171</v>
      </c>
      <c r="L1381" s="78">
        <v>1144.6790000000001</v>
      </c>
    </row>
    <row r="1382" spans="1:12">
      <c r="A1382" s="77">
        <v>152641</v>
      </c>
      <c r="B1382" s="77">
        <v>24699</v>
      </c>
      <c r="C1382" s="77" t="s">
        <v>180</v>
      </c>
      <c r="D1382" s="77">
        <v>2.25</v>
      </c>
      <c r="E1382" s="77">
        <v>2</v>
      </c>
      <c r="F1382" s="79">
        <f t="shared" si="21"/>
        <v>1144.6790000000001</v>
      </c>
      <c r="J1382" s="78">
        <v>24689</v>
      </c>
      <c r="K1382" s="78" t="s">
        <v>173</v>
      </c>
      <c r="L1382" s="78">
        <v>1904.288</v>
      </c>
    </row>
    <row r="1383" spans="1:12">
      <c r="A1383" s="77">
        <v>117162</v>
      </c>
      <c r="B1383" s="77">
        <v>24706</v>
      </c>
      <c r="C1383" s="77" t="s">
        <v>180</v>
      </c>
      <c r="D1383" s="77">
        <v>1.7</v>
      </c>
      <c r="E1383" s="77">
        <v>1</v>
      </c>
      <c r="F1383" s="79">
        <f t="shared" si="21"/>
        <v>1612.692</v>
      </c>
      <c r="J1383" s="78">
        <v>24696</v>
      </c>
      <c r="K1383" s="78" t="s">
        <v>173</v>
      </c>
      <c r="L1383" s="78">
        <v>2079.9929999999999</v>
      </c>
    </row>
    <row r="1384" spans="1:12">
      <c r="A1384" s="77">
        <v>119026</v>
      </c>
      <c r="B1384" s="77">
        <v>24713</v>
      </c>
      <c r="C1384" s="77" t="s">
        <v>180</v>
      </c>
      <c r="D1384" s="77">
        <v>1.3</v>
      </c>
      <c r="E1384" s="77">
        <v>2</v>
      </c>
      <c r="F1384" s="79">
        <f t="shared" si="21"/>
        <v>1925.059</v>
      </c>
      <c r="J1384" s="78">
        <v>24699</v>
      </c>
      <c r="K1384" s="78" t="s">
        <v>171</v>
      </c>
      <c r="L1384" s="78">
        <v>1144.6790000000001</v>
      </c>
    </row>
    <row r="1385" spans="1:12">
      <c r="A1385" s="77">
        <v>180463</v>
      </c>
      <c r="B1385" s="77">
        <v>24733</v>
      </c>
      <c r="C1385" s="77" t="s">
        <v>180</v>
      </c>
      <c r="D1385" s="77">
        <v>2.5</v>
      </c>
      <c r="E1385" s="77">
        <v>2</v>
      </c>
      <c r="F1385" s="79">
        <f t="shared" si="21"/>
        <v>4360.1880000000001</v>
      </c>
      <c r="J1385" s="78">
        <v>24706</v>
      </c>
      <c r="K1385" s="78" t="s">
        <v>172</v>
      </c>
      <c r="L1385" s="78">
        <v>1612.692</v>
      </c>
    </row>
    <row r="1386" spans="1:12">
      <c r="A1386" s="77">
        <v>176472</v>
      </c>
      <c r="B1386" s="77">
        <v>24740</v>
      </c>
      <c r="C1386" s="77" t="s">
        <v>180</v>
      </c>
      <c r="D1386" s="77">
        <v>1.75</v>
      </c>
      <c r="E1386" s="77">
        <v>2</v>
      </c>
      <c r="F1386" s="79">
        <f t="shared" si="21"/>
        <v>2130.886</v>
      </c>
      <c r="J1386" s="78">
        <v>24713</v>
      </c>
      <c r="K1386" s="78" t="s">
        <v>172</v>
      </c>
      <c r="L1386" s="78">
        <v>1925.059</v>
      </c>
    </row>
    <row r="1387" spans="1:12">
      <c r="A1387" s="77">
        <v>150676</v>
      </c>
      <c r="B1387" s="77">
        <v>24765</v>
      </c>
      <c r="C1387" s="77" t="s">
        <v>180</v>
      </c>
      <c r="D1387" s="77">
        <v>2.75</v>
      </c>
      <c r="E1387" s="77">
        <v>1</v>
      </c>
      <c r="F1387" s="79">
        <f t="shared" si="21"/>
        <v>1144.6790000000001</v>
      </c>
      <c r="J1387" s="78">
        <v>24733</v>
      </c>
      <c r="K1387" s="78" t="s">
        <v>173</v>
      </c>
      <c r="L1387" s="78">
        <v>4360.1880000000001</v>
      </c>
    </row>
    <row r="1388" spans="1:12">
      <c r="A1388" s="77">
        <v>229812</v>
      </c>
      <c r="B1388" s="77">
        <v>24770</v>
      </c>
      <c r="C1388" s="77" t="s">
        <v>180</v>
      </c>
      <c r="D1388" s="77">
        <v>2.5</v>
      </c>
      <c r="E1388" s="77">
        <v>2</v>
      </c>
      <c r="F1388" s="79">
        <f t="shared" si="21"/>
        <v>3785.7640000000001</v>
      </c>
      <c r="J1388" s="78">
        <v>24740</v>
      </c>
      <c r="K1388" s="78" t="s">
        <v>171</v>
      </c>
      <c r="L1388" s="78">
        <v>2130.886</v>
      </c>
    </row>
    <row r="1389" spans="1:12">
      <c r="A1389" s="77">
        <v>73499</v>
      </c>
      <c r="B1389" s="77">
        <v>24781</v>
      </c>
      <c r="C1389" s="77" t="s">
        <v>180</v>
      </c>
      <c r="D1389" s="77">
        <v>2</v>
      </c>
      <c r="E1389" s="77">
        <v>2</v>
      </c>
      <c r="F1389" s="79">
        <f t="shared" si="21"/>
        <v>2079.9929999999999</v>
      </c>
      <c r="J1389" s="78">
        <v>24765</v>
      </c>
      <c r="K1389" s="78" t="s">
        <v>171</v>
      </c>
      <c r="L1389" s="78">
        <v>1144.6790000000001</v>
      </c>
    </row>
    <row r="1390" spans="1:12">
      <c r="A1390" s="77">
        <v>221081</v>
      </c>
      <c r="B1390" s="77">
        <v>24785</v>
      </c>
      <c r="C1390" s="77" t="s">
        <v>180</v>
      </c>
      <c r="D1390" s="77">
        <v>2</v>
      </c>
      <c r="E1390" s="77">
        <v>1</v>
      </c>
      <c r="F1390" s="79">
        <f t="shared" si="21"/>
        <v>1904.288</v>
      </c>
      <c r="J1390" s="78">
        <v>24770</v>
      </c>
      <c r="K1390" s="78" t="s">
        <v>170</v>
      </c>
      <c r="L1390" s="78">
        <v>3785.7640000000001</v>
      </c>
    </row>
    <row r="1391" spans="1:12">
      <c r="A1391" s="77">
        <v>121288</v>
      </c>
      <c r="B1391" s="77">
        <v>24790</v>
      </c>
      <c r="C1391" s="77" t="s">
        <v>180</v>
      </c>
      <c r="D1391" s="77">
        <v>1.75</v>
      </c>
      <c r="E1391" s="77">
        <v>3</v>
      </c>
      <c r="F1391" s="79">
        <f t="shared" si="21"/>
        <v>2079.9929999999999</v>
      </c>
      <c r="J1391" s="78">
        <v>24781</v>
      </c>
      <c r="K1391" s="78" t="s">
        <v>173</v>
      </c>
      <c r="L1391" s="78">
        <v>2079.9929999999999</v>
      </c>
    </row>
    <row r="1392" spans="1:12">
      <c r="A1392" s="77">
        <v>198909</v>
      </c>
      <c r="B1392" s="77">
        <v>24795</v>
      </c>
      <c r="C1392" s="77" t="s">
        <v>180</v>
      </c>
      <c r="D1392" s="77">
        <v>3</v>
      </c>
      <c r="E1392" s="77">
        <v>2</v>
      </c>
      <c r="F1392" s="79">
        <f t="shared" si="21"/>
        <v>2079.9929999999999</v>
      </c>
      <c r="J1392" s="78">
        <v>24785</v>
      </c>
      <c r="K1392" s="78" t="s">
        <v>173</v>
      </c>
      <c r="L1392" s="78">
        <v>1904.288</v>
      </c>
    </row>
    <row r="1393" spans="1:12">
      <c r="A1393" s="77">
        <v>215814</v>
      </c>
      <c r="B1393" s="77">
        <v>24807</v>
      </c>
      <c r="C1393" s="77" t="s">
        <v>180</v>
      </c>
      <c r="D1393" s="77">
        <v>2</v>
      </c>
      <c r="E1393" s="77">
        <v>2</v>
      </c>
      <c r="F1393" s="79">
        <f t="shared" si="21"/>
        <v>2079.9929999999999</v>
      </c>
      <c r="J1393" s="78">
        <v>24790</v>
      </c>
      <c r="K1393" s="78" t="s">
        <v>173</v>
      </c>
      <c r="L1393" s="78">
        <v>2079.9929999999999</v>
      </c>
    </row>
    <row r="1394" spans="1:12">
      <c r="A1394" s="77">
        <v>732586</v>
      </c>
      <c r="B1394" s="77">
        <v>24808</v>
      </c>
      <c r="C1394" s="77" t="s">
        <v>180</v>
      </c>
      <c r="D1394" s="77">
        <v>2</v>
      </c>
      <c r="E1394" s="77">
        <v>2</v>
      </c>
      <c r="F1394" s="79">
        <f t="shared" si="21"/>
        <v>3785.7640000000001</v>
      </c>
      <c r="J1394" s="78">
        <v>24795</v>
      </c>
      <c r="K1394" s="78" t="s">
        <v>173</v>
      </c>
      <c r="L1394" s="78">
        <v>2079.9929999999999</v>
      </c>
    </row>
    <row r="1395" spans="1:12">
      <c r="A1395" s="77">
        <v>65229</v>
      </c>
      <c r="B1395" s="77">
        <v>24816</v>
      </c>
      <c r="C1395" s="77" t="s">
        <v>180</v>
      </c>
      <c r="D1395" s="77">
        <v>2.25</v>
      </c>
      <c r="E1395" s="77">
        <v>3</v>
      </c>
      <c r="F1395" s="79">
        <f t="shared" si="21"/>
        <v>2079.9929999999999</v>
      </c>
      <c r="J1395" s="78">
        <v>24807</v>
      </c>
      <c r="K1395" s="78" t="s">
        <v>173</v>
      </c>
      <c r="L1395" s="78">
        <v>2079.9929999999999</v>
      </c>
    </row>
    <row r="1396" spans="1:12">
      <c r="A1396" s="77">
        <v>675273</v>
      </c>
      <c r="B1396" s="77">
        <v>24822</v>
      </c>
      <c r="C1396" s="77" t="s">
        <v>180</v>
      </c>
      <c r="D1396" s="77">
        <v>1.6</v>
      </c>
      <c r="E1396" s="77">
        <v>2</v>
      </c>
      <c r="F1396" s="79">
        <f t="shared" si="21"/>
        <v>1144.6790000000001</v>
      </c>
      <c r="J1396" s="78">
        <v>24808</v>
      </c>
      <c r="K1396" s="78" t="s">
        <v>170</v>
      </c>
      <c r="L1396" s="78">
        <v>3785.7640000000001</v>
      </c>
    </row>
    <row r="1397" spans="1:12">
      <c r="A1397" s="77">
        <v>183732</v>
      </c>
      <c r="B1397" s="77">
        <v>24826</v>
      </c>
      <c r="C1397" s="77" t="s">
        <v>180</v>
      </c>
      <c r="D1397" s="77">
        <v>2</v>
      </c>
      <c r="E1397" s="77">
        <v>1</v>
      </c>
      <c r="F1397" s="79">
        <f t="shared" si="21"/>
        <v>1612.692</v>
      </c>
      <c r="J1397" s="78">
        <v>24816</v>
      </c>
      <c r="K1397" s="78" t="s">
        <v>173</v>
      </c>
      <c r="L1397" s="78">
        <v>2079.9929999999999</v>
      </c>
    </row>
    <row r="1398" spans="1:12">
      <c r="A1398" s="77">
        <v>87569</v>
      </c>
      <c r="B1398" s="77">
        <v>24827</v>
      </c>
      <c r="C1398" s="77" t="s">
        <v>180</v>
      </c>
      <c r="D1398" s="77">
        <v>3.4</v>
      </c>
      <c r="E1398" s="77">
        <v>5</v>
      </c>
      <c r="F1398" s="79">
        <f t="shared" si="21"/>
        <v>1144.6790000000001</v>
      </c>
      <c r="J1398" s="78">
        <v>24822</v>
      </c>
      <c r="K1398" s="78" t="s">
        <v>171</v>
      </c>
      <c r="L1398" s="78">
        <v>1144.6790000000001</v>
      </c>
    </row>
    <row r="1399" spans="1:12">
      <c r="A1399" s="77">
        <v>689463</v>
      </c>
      <c r="B1399" s="77">
        <v>24833</v>
      </c>
      <c r="C1399" s="77" t="s">
        <v>180</v>
      </c>
      <c r="D1399" s="77">
        <v>2.75</v>
      </c>
      <c r="E1399" s="77">
        <v>1</v>
      </c>
      <c r="F1399" s="79">
        <f t="shared" si="21"/>
        <v>12271.31</v>
      </c>
      <c r="J1399" s="78">
        <v>24826</v>
      </c>
      <c r="K1399" s="78" t="s">
        <v>172</v>
      </c>
      <c r="L1399" s="78">
        <v>1612.692</v>
      </c>
    </row>
    <row r="1400" spans="1:12">
      <c r="A1400" s="77">
        <v>682276</v>
      </c>
      <c r="B1400" s="77">
        <v>24844</v>
      </c>
      <c r="C1400" s="77" t="s">
        <v>180</v>
      </c>
      <c r="D1400" s="77">
        <v>3</v>
      </c>
      <c r="E1400" s="77">
        <v>1</v>
      </c>
      <c r="F1400" s="79">
        <f t="shared" si="21"/>
        <v>3785.7640000000001</v>
      </c>
      <c r="J1400" s="78">
        <v>24827</v>
      </c>
      <c r="K1400" s="78" t="s">
        <v>171</v>
      </c>
      <c r="L1400" s="78">
        <v>1144.6790000000001</v>
      </c>
    </row>
    <row r="1401" spans="1:12">
      <c r="A1401" s="77">
        <v>203690</v>
      </c>
      <c r="B1401" s="77">
        <v>24850</v>
      </c>
      <c r="C1401" s="77" t="s">
        <v>180</v>
      </c>
      <c r="D1401" s="77">
        <v>1</v>
      </c>
      <c r="E1401" s="77">
        <v>1</v>
      </c>
      <c r="F1401" s="79">
        <f t="shared" si="21"/>
        <v>1192.4649999999999</v>
      </c>
      <c r="J1401" s="78">
        <v>24833</v>
      </c>
      <c r="K1401" s="78" t="s">
        <v>173</v>
      </c>
      <c r="L1401" s="78">
        <v>12271.31</v>
      </c>
    </row>
    <row r="1402" spans="1:12">
      <c r="A1402" s="77">
        <v>32493</v>
      </c>
      <c r="B1402" s="77">
        <v>24863</v>
      </c>
      <c r="C1402" s="77" t="s">
        <v>180</v>
      </c>
      <c r="D1402" s="77">
        <v>2</v>
      </c>
      <c r="E1402" s="77">
        <v>1</v>
      </c>
      <c r="F1402" s="79">
        <f t="shared" si="21"/>
        <v>3785.7640000000001</v>
      </c>
      <c r="J1402" s="78">
        <v>24844</v>
      </c>
      <c r="K1402" s="78" t="s">
        <v>170</v>
      </c>
      <c r="L1402" s="78">
        <v>3785.7640000000001</v>
      </c>
    </row>
    <row r="1403" spans="1:12">
      <c r="A1403" s="77">
        <v>196826</v>
      </c>
      <c r="B1403" s="77">
        <v>24866</v>
      </c>
      <c r="C1403" s="77" t="s">
        <v>180</v>
      </c>
      <c r="D1403" s="77">
        <v>2</v>
      </c>
      <c r="E1403" s="77">
        <v>2</v>
      </c>
      <c r="F1403" s="79">
        <f t="shared" si="21"/>
        <v>4360.1880000000001</v>
      </c>
      <c r="J1403" s="78">
        <v>24850</v>
      </c>
      <c r="K1403" s="78" t="s">
        <v>170</v>
      </c>
      <c r="L1403" s="78">
        <v>1192.4649999999999</v>
      </c>
    </row>
    <row r="1404" spans="1:12">
      <c r="J1404" s="78">
        <v>24863</v>
      </c>
      <c r="K1404" s="78" t="s">
        <v>170</v>
      </c>
      <c r="L1404" s="78">
        <v>3785.7640000000001</v>
      </c>
    </row>
    <row r="1405" spans="1:12">
      <c r="J1405" s="78">
        <v>24866</v>
      </c>
      <c r="K1405" s="78" t="s">
        <v>173</v>
      </c>
      <c r="L1405" s="78">
        <v>4360.1880000000001</v>
      </c>
    </row>
  </sheetData>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sheetPr codeName="Sheet5"/>
  <dimension ref="A1:H322"/>
  <sheetViews>
    <sheetView workbookViewId="0">
      <selection activeCell="D36" sqref="D36"/>
    </sheetView>
  </sheetViews>
  <sheetFormatPr defaultRowHeight="12.75"/>
  <cols>
    <col min="1" max="16384" width="9.140625" style="81"/>
  </cols>
  <sheetData>
    <row r="1" spans="1:8" ht="15">
      <c r="A1" s="81" t="s">
        <v>176</v>
      </c>
      <c r="B1" s="81" t="s">
        <v>178</v>
      </c>
      <c r="C1" s="81" t="s">
        <v>179</v>
      </c>
      <c r="D1" s="81" t="s">
        <v>195</v>
      </c>
      <c r="E1" t="s">
        <v>194</v>
      </c>
      <c r="G1" s="86" t="s">
        <v>176</v>
      </c>
      <c r="H1" s="86" t="s">
        <v>192</v>
      </c>
    </row>
    <row r="2" spans="1:8" ht="15">
      <c r="A2" s="81">
        <v>10155</v>
      </c>
      <c r="B2" s="81">
        <v>1.5</v>
      </c>
      <c r="C2" s="81">
        <v>1</v>
      </c>
      <c r="D2" s="81">
        <f>VLOOKUP(A2,$G$2:$H$322,2,FALSE)</f>
        <v>421.61790000000002</v>
      </c>
      <c r="E2" s="84">
        <f>SUMPRODUCT(C2:C320,D2:D320)/SUM(D2:D320)</f>
        <v>1.6479686904104249</v>
      </c>
      <c r="G2" s="87">
        <v>10155</v>
      </c>
      <c r="H2" s="87">
        <v>421.61790000000002</v>
      </c>
    </row>
    <row r="3" spans="1:8" ht="15">
      <c r="A3" s="81">
        <v>10199</v>
      </c>
      <c r="B3" s="81">
        <v>2</v>
      </c>
      <c r="C3" s="81">
        <v>1</v>
      </c>
      <c r="D3" s="81">
        <f t="shared" ref="D3:D66" si="0">VLOOKUP(A3,$G$2:$H$322,2,FALSE)</f>
        <v>236.3005</v>
      </c>
      <c r="G3" s="87">
        <v>10199</v>
      </c>
      <c r="H3" s="87">
        <v>236.3005</v>
      </c>
    </row>
    <row r="4" spans="1:8" ht="15">
      <c r="A4" s="81">
        <v>10257</v>
      </c>
      <c r="B4" s="81">
        <v>1.75</v>
      </c>
      <c r="C4" s="81">
        <v>2</v>
      </c>
      <c r="D4" s="81">
        <f t="shared" si="0"/>
        <v>236.3005</v>
      </c>
      <c r="G4" s="87">
        <v>10257</v>
      </c>
      <c r="H4" s="87">
        <v>236.3005</v>
      </c>
    </row>
    <row r="5" spans="1:8" ht="15">
      <c r="A5" s="81">
        <v>10339</v>
      </c>
      <c r="B5" s="81">
        <v>3</v>
      </c>
      <c r="C5" s="81">
        <v>1</v>
      </c>
      <c r="D5" s="81">
        <f t="shared" si="0"/>
        <v>236.3005</v>
      </c>
      <c r="G5" s="87">
        <v>10339</v>
      </c>
      <c r="H5" s="87">
        <v>236.3005</v>
      </c>
    </row>
    <row r="6" spans="1:8" ht="15">
      <c r="A6" s="81">
        <v>10417</v>
      </c>
      <c r="B6" s="81">
        <v>2.75</v>
      </c>
      <c r="C6" s="81">
        <v>1</v>
      </c>
      <c r="D6" s="81">
        <f t="shared" si="0"/>
        <v>421.61790000000002</v>
      </c>
      <c r="G6" s="87">
        <v>10417</v>
      </c>
      <c r="H6" s="87">
        <v>421.61790000000002</v>
      </c>
    </row>
    <row r="7" spans="1:8" ht="15">
      <c r="A7" s="81">
        <v>10732</v>
      </c>
      <c r="B7" s="81">
        <v>1.20000004768372</v>
      </c>
      <c r="C7" s="81">
        <v>2</v>
      </c>
      <c r="D7" s="81">
        <f t="shared" si="0"/>
        <v>421.61790000000002</v>
      </c>
      <c r="G7" s="87">
        <v>10732</v>
      </c>
      <c r="H7" s="87">
        <v>421.61790000000002</v>
      </c>
    </row>
    <row r="8" spans="1:8" ht="15">
      <c r="A8" s="81">
        <v>10768</v>
      </c>
      <c r="B8" s="81">
        <v>2</v>
      </c>
      <c r="C8" s="81">
        <v>2</v>
      </c>
      <c r="D8" s="81">
        <f t="shared" si="0"/>
        <v>2319.0770000000002</v>
      </c>
      <c r="G8" s="87">
        <v>10768</v>
      </c>
      <c r="H8" s="87">
        <v>2319.0770000000002</v>
      </c>
    </row>
    <row r="9" spans="1:8" ht="15">
      <c r="A9" s="81">
        <v>10820</v>
      </c>
      <c r="B9" s="81">
        <v>3</v>
      </c>
      <c r="C9" s="81">
        <v>2</v>
      </c>
      <c r="D9" s="81">
        <f t="shared" si="0"/>
        <v>421.61790000000002</v>
      </c>
      <c r="G9" s="87">
        <v>10820</v>
      </c>
      <c r="H9" s="87">
        <v>421.61790000000002</v>
      </c>
    </row>
    <row r="10" spans="1:8" ht="15">
      <c r="A10" s="81">
        <v>11174</v>
      </c>
      <c r="B10" s="81">
        <v>2</v>
      </c>
      <c r="C10" s="81">
        <v>2</v>
      </c>
      <c r="D10" s="81">
        <f t="shared" si="0"/>
        <v>236.3005</v>
      </c>
      <c r="G10" s="87">
        <v>11174</v>
      </c>
      <c r="H10" s="87">
        <v>236.3005</v>
      </c>
    </row>
    <row r="11" spans="1:8" ht="15">
      <c r="A11" s="81">
        <v>11314</v>
      </c>
      <c r="B11" s="81">
        <v>2</v>
      </c>
      <c r="C11" s="81">
        <v>2</v>
      </c>
      <c r="D11" s="81">
        <f t="shared" si="0"/>
        <v>421.61790000000002</v>
      </c>
      <c r="G11" s="87">
        <v>11314</v>
      </c>
      <c r="H11" s="87">
        <v>421.61790000000002</v>
      </c>
    </row>
    <row r="12" spans="1:8" ht="15">
      <c r="A12" s="81">
        <v>11328</v>
      </c>
      <c r="B12" s="81">
        <v>2.25</v>
      </c>
      <c r="C12" s="81">
        <v>2</v>
      </c>
      <c r="D12" s="81">
        <f t="shared" si="0"/>
        <v>236.3005</v>
      </c>
      <c r="G12" s="87">
        <v>11328</v>
      </c>
      <c r="H12" s="87">
        <v>236.3005</v>
      </c>
    </row>
    <row r="13" spans="1:8" ht="15">
      <c r="A13" s="81">
        <v>11390</v>
      </c>
      <c r="B13" s="81">
        <v>1.25</v>
      </c>
      <c r="C13" s="81">
        <v>2</v>
      </c>
      <c r="D13" s="81">
        <f t="shared" si="0"/>
        <v>236.3005</v>
      </c>
      <c r="G13" s="87">
        <v>11390</v>
      </c>
      <c r="H13" s="87">
        <v>236.3005</v>
      </c>
    </row>
    <row r="14" spans="1:8" ht="15">
      <c r="A14" s="81">
        <v>11498</v>
      </c>
      <c r="B14" s="81">
        <v>3</v>
      </c>
      <c r="C14" s="81">
        <v>1</v>
      </c>
      <c r="D14" s="81">
        <f t="shared" si="0"/>
        <v>236.3005</v>
      </c>
      <c r="G14" s="87">
        <v>11498</v>
      </c>
      <c r="H14" s="87">
        <v>236.3005</v>
      </c>
    </row>
    <row r="15" spans="1:8" ht="15">
      <c r="A15" s="81">
        <v>11518</v>
      </c>
      <c r="B15" s="81">
        <v>2.25</v>
      </c>
      <c r="C15" s="81">
        <v>2</v>
      </c>
      <c r="D15" s="81">
        <f t="shared" si="0"/>
        <v>236.3005</v>
      </c>
      <c r="G15" s="87">
        <v>11518</v>
      </c>
      <c r="H15" s="87">
        <v>236.3005</v>
      </c>
    </row>
    <row r="16" spans="1:8" ht="15">
      <c r="A16" s="81">
        <v>11558</v>
      </c>
      <c r="B16" s="81">
        <v>1.6000000238418599</v>
      </c>
      <c r="C16" s="81">
        <v>1</v>
      </c>
      <c r="D16" s="81">
        <f t="shared" si="0"/>
        <v>421.61790000000002</v>
      </c>
      <c r="G16" s="87">
        <v>11558</v>
      </c>
      <c r="H16" s="87">
        <v>421.61790000000002</v>
      </c>
    </row>
    <row r="17" spans="1:8" ht="15">
      <c r="A17" s="81">
        <v>11612</v>
      </c>
      <c r="B17" s="81">
        <v>2.5</v>
      </c>
      <c r="C17" s="81">
        <v>2</v>
      </c>
      <c r="D17" s="81">
        <f t="shared" si="0"/>
        <v>3065.65</v>
      </c>
      <c r="G17" s="87">
        <v>11612</v>
      </c>
      <c r="H17" s="87">
        <v>3065.65</v>
      </c>
    </row>
    <row r="18" spans="1:8" ht="15">
      <c r="A18" s="81">
        <v>11627</v>
      </c>
      <c r="B18" s="81">
        <v>2</v>
      </c>
      <c r="C18" s="81">
        <v>2</v>
      </c>
      <c r="D18" s="81">
        <f t="shared" si="0"/>
        <v>236.3005</v>
      </c>
      <c r="G18" s="87">
        <v>11627</v>
      </c>
      <c r="H18" s="87">
        <v>236.3005</v>
      </c>
    </row>
    <row r="19" spans="1:8" ht="15">
      <c r="A19" s="81">
        <v>11671</v>
      </c>
      <c r="B19" s="81">
        <v>2.25</v>
      </c>
      <c r="C19" s="81">
        <v>1</v>
      </c>
      <c r="D19" s="81">
        <f t="shared" si="0"/>
        <v>3065.65</v>
      </c>
      <c r="G19" s="87">
        <v>11671</v>
      </c>
      <c r="H19" s="87">
        <v>3065.65</v>
      </c>
    </row>
    <row r="20" spans="1:8" ht="15">
      <c r="A20" s="81">
        <v>11854</v>
      </c>
      <c r="B20" s="81">
        <v>2.25</v>
      </c>
      <c r="C20" s="81">
        <v>1</v>
      </c>
      <c r="D20" s="81">
        <f t="shared" si="0"/>
        <v>3065.65</v>
      </c>
      <c r="G20" s="87">
        <v>11854</v>
      </c>
      <c r="H20" s="87">
        <v>3065.65</v>
      </c>
    </row>
    <row r="21" spans="1:8" ht="15">
      <c r="A21" s="81">
        <v>11861</v>
      </c>
      <c r="B21" s="81">
        <v>2</v>
      </c>
      <c r="C21" s="81">
        <v>2</v>
      </c>
      <c r="D21" s="81">
        <f t="shared" si="0"/>
        <v>236.3005</v>
      </c>
      <c r="G21" s="87">
        <v>11861</v>
      </c>
      <c r="H21" s="87">
        <v>236.3005</v>
      </c>
    </row>
    <row r="22" spans="1:8" ht="15">
      <c r="A22" s="81">
        <v>11990</v>
      </c>
      <c r="B22" s="81">
        <v>2.25</v>
      </c>
      <c r="C22" s="81">
        <v>1</v>
      </c>
      <c r="D22" s="81">
        <f t="shared" si="0"/>
        <v>421.61790000000002</v>
      </c>
      <c r="G22" s="87">
        <v>11990</v>
      </c>
      <c r="H22" s="87">
        <v>421.61790000000002</v>
      </c>
    </row>
    <row r="23" spans="1:8" ht="15">
      <c r="A23" s="81">
        <v>12139</v>
      </c>
      <c r="B23" s="81">
        <v>2.5</v>
      </c>
      <c r="C23" s="81">
        <v>1</v>
      </c>
      <c r="D23" s="81">
        <f t="shared" si="0"/>
        <v>236.3005</v>
      </c>
      <c r="G23" s="87">
        <v>12139</v>
      </c>
      <c r="H23" s="87">
        <v>236.3005</v>
      </c>
    </row>
    <row r="24" spans="1:8" ht="15">
      <c r="A24" s="81">
        <v>12262</v>
      </c>
      <c r="B24" s="81">
        <v>3</v>
      </c>
      <c r="C24" s="81">
        <v>1</v>
      </c>
      <c r="D24" s="81">
        <f t="shared" si="0"/>
        <v>236.3005</v>
      </c>
      <c r="G24" s="87">
        <v>12262</v>
      </c>
      <c r="H24" s="87">
        <v>236.3005</v>
      </c>
    </row>
    <row r="25" spans="1:8" ht="15">
      <c r="A25" s="81">
        <v>12285</v>
      </c>
      <c r="B25" s="81">
        <v>3</v>
      </c>
      <c r="C25" s="81">
        <v>1</v>
      </c>
      <c r="D25" s="81">
        <f t="shared" si="0"/>
        <v>236.3005</v>
      </c>
      <c r="G25" s="87">
        <v>12285</v>
      </c>
      <c r="H25" s="87">
        <v>236.3005</v>
      </c>
    </row>
    <row r="26" spans="1:8" ht="15">
      <c r="A26" s="81">
        <v>12397</v>
      </c>
      <c r="B26" s="81">
        <v>1.75</v>
      </c>
      <c r="C26" s="81">
        <v>1</v>
      </c>
      <c r="D26" s="81">
        <f t="shared" si="0"/>
        <v>236.3005</v>
      </c>
      <c r="G26" s="87">
        <v>12397</v>
      </c>
      <c r="H26" s="87">
        <v>236.3005</v>
      </c>
    </row>
    <row r="27" spans="1:8" ht="15">
      <c r="A27" s="81">
        <v>12481</v>
      </c>
      <c r="B27" s="81">
        <v>2.75</v>
      </c>
      <c r="C27" s="81">
        <v>2</v>
      </c>
      <c r="D27" s="81">
        <f t="shared" si="0"/>
        <v>236.3005</v>
      </c>
      <c r="G27" s="87">
        <v>12481</v>
      </c>
      <c r="H27" s="87">
        <v>236.3005</v>
      </c>
    </row>
    <row r="28" spans="1:8" ht="15">
      <c r="A28" s="81">
        <v>12584</v>
      </c>
      <c r="B28" s="81">
        <v>1.5</v>
      </c>
      <c r="C28" s="81">
        <v>1</v>
      </c>
      <c r="D28" s="81">
        <f t="shared" si="0"/>
        <v>421.61790000000002</v>
      </c>
      <c r="G28" s="87">
        <v>12584</v>
      </c>
      <c r="H28" s="87">
        <v>421.61790000000002</v>
      </c>
    </row>
    <row r="29" spans="1:8" ht="15">
      <c r="A29" s="81">
        <v>12752</v>
      </c>
      <c r="B29" s="81">
        <v>1.25</v>
      </c>
      <c r="C29" s="81">
        <v>1</v>
      </c>
      <c r="D29" s="81">
        <f t="shared" si="0"/>
        <v>236.3005</v>
      </c>
      <c r="G29" s="87">
        <v>12752</v>
      </c>
      <c r="H29" s="87">
        <v>236.3005</v>
      </c>
    </row>
    <row r="30" spans="1:8" ht="15">
      <c r="A30" s="81">
        <v>13133</v>
      </c>
      <c r="B30" s="81">
        <v>2.5</v>
      </c>
      <c r="C30" s="81">
        <v>2</v>
      </c>
      <c r="D30" s="81">
        <f t="shared" si="0"/>
        <v>3065.65</v>
      </c>
      <c r="G30" s="87">
        <v>13133</v>
      </c>
      <c r="H30" s="87">
        <v>3065.65</v>
      </c>
    </row>
    <row r="31" spans="1:8" ht="15">
      <c r="A31" s="81">
        <v>13189</v>
      </c>
      <c r="B31" s="81">
        <v>2</v>
      </c>
      <c r="C31" s="81">
        <v>2</v>
      </c>
      <c r="D31" s="81">
        <f t="shared" si="0"/>
        <v>236.3005</v>
      </c>
      <c r="G31" s="87">
        <v>13189</v>
      </c>
      <c r="H31" s="87">
        <v>236.3005</v>
      </c>
    </row>
    <row r="32" spans="1:8" ht="15">
      <c r="A32" s="81">
        <v>13207</v>
      </c>
      <c r="B32" s="81">
        <v>2.75</v>
      </c>
      <c r="C32" s="81">
        <v>1</v>
      </c>
      <c r="D32" s="81">
        <f t="shared" si="0"/>
        <v>236.3005</v>
      </c>
      <c r="G32" s="87">
        <v>13207</v>
      </c>
      <c r="H32" s="87">
        <v>236.3005</v>
      </c>
    </row>
    <row r="33" spans="1:8" ht="15">
      <c r="A33" s="81">
        <v>13247</v>
      </c>
      <c r="B33" s="81">
        <v>3</v>
      </c>
      <c r="C33" s="81">
        <v>1</v>
      </c>
      <c r="D33" s="81">
        <f t="shared" si="0"/>
        <v>421.61790000000002</v>
      </c>
      <c r="G33" s="87">
        <v>13247</v>
      </c>
      <c r="H33" s="87">
        <v>421.61790000000002</v>
      </c>
    </row>
    <row r="34" spans="1:8" ht="15">
      <c r="A34" s="81">
        <v>13424</v>
      </c>
      <c r="B34" s="81">
        <v>2</v>
      </c>
      <c r="C34" s="81">
        <v>2</v>
      </c>
      <c r="D34" s="81">
        <f t="shared" si="0"/>
        <v>236.3005</v>
      </c>
      <c r="G34" s="87">
        <v>13424</v>
      </c>
      <c r="H34" s="87">
        <v>236.3005</v>
      </c>
    </row>
    <row r="35" spans="1:8" ht="15">
      <c r="A35" s="81">
        <v>13464</v>
      </c>
      <c r="B35" s="81">
        <v>2</v>
      </c>
      <c r="C35" s="81">
        <v>1</v>
      </c>
      <c r="D35" s="81">
        <f t="shared" si="0"/>
        <v>236.3005</v>
      </c>
      <c r="G35" s="87">
        <v>13464</v>
      </c>
      <c r="H35" s="87">
        <v>236.3005</v>
      </c>
    </row>
    <row r="36" spans="1:8" ht="15">
      <c r="A36" s="81">
        <v>13738</v>
      </c>
      <c r="B36" s="81">
        <v>2.25</v>
      </c>
      <c r="C36" s="81">
        <v>2</v>
      </c>
      <c r="D36" s="81">
        <f t="shared" si="0"/>
        <v>236.3005</v>
      </c>
      <c r="G36" s="87">
        <v>13738</v>
      </c>
      <c r="H36" s="87">
        <v>236.3005</v>
      </c>
    </row>
    <row r="37" spans="1:8" ht="15">
      <c r="A37" s="81">
        <v>13960</v>
      </c>
      <c r="B37" s="81">
        <v>2</v>
      </c>
      <c r="C37" s="81">
        <v>1</v>
      </c>
      <c r="D37" s="81">
        <f t="shared" si="0"/>
        <v>421.61790000000002</v>
      </c>
      <c r="G37" s="87">
        <v>13960</v>
      </c>
      <c r="H37" s="87">
        <v>421.61790000000002</v>
      </c>
    </row>
    <row r="38" spans="1:8" ht="15">
      <c r="A38" s="81">
        <v>14027</v>
      </c>
      <c r="B38" s="81">
        <v>1</v>
      </c>
      <c r="C38" s="81">
        <v>2</v>
      </c>
      <c r="D38" s="81">
        <f t="shared" si="0"/>
        <v>421.61790000000002</v>
      </c>
      <c r="G38" s="87">
        <v>14027</v>
      </c>
      <c r="H38" s="87">
        <v>421.61790000000002</v>
      </c>
    </row>
    <row r="39" spans="1:8" ht="15">
      <c r="A39" s="81">
        <v>14082</v>
      </c>
      <c r="B39" s="81">
        <v>2</v>
      </c>
      <c r="C39" s="81">
        <v>2</v>
      </c>
      <c r="D39" s="81">
        <f t="shared" si="0"/>
        <v>421.61790000000002</v>
      </c>
      <c r="G39" s="87">
        <v>14082</v>
      </c>
      <c r="H39" s="87">
        <v>421.61790000000002</v>
      </c>
    </row>
    <row r="40" spans="1:8" ht="15">
      <c r="A40" s="81">
        <v>14215</v>
      </c>
      <c r="B40" s="81">
        <v>1.5</v>
      </c>
      <c r="C40" s="81">
        <v>1</v>
      </c>
      <c r="D40" s="81">
        <f t="shared" si="0"/>
        <v>421.61790000000002</v>
      </c>
      <c r="G40" s="87">
        <v>14215</v>
      </c>
      <c r="H40" s="87">
        <v>421.61790000000002</v>
      </c>
    </row>
    <row r="41" spans="1:8" ht="15">
      <c r="A41" s="81">
        <v>14352</v>
      </c>
      <c r="B41" s="81">
        <v>2.5</v>
      </c>
      <c r="C41" s="81">
        <v>1</v>
      </c>
      <c r="D41" s="81">
        <f t="shared" si="0"/>
        <v>236.3005</v>
      </c>
      <c r="G41" s="87">
        <v>14352</v>
      </c>
      <c r="H41" s="87">
        <v>236.3005</v>
      </c>
    </row>
    <row r="42" spans="1:8" ht="15">
      <c r="A42" s="81">
        <v>14389</v>
      </c>
      <c r="B42" s="81">
        <v>2.5</v>
      </c>
      <c r="C42" s="81">
        <v>1</v>
      </c>
      <c r="D42" s="81">
        <f t="shared" si="0"/>
        <v>236.3005</v>
      </c>
      <c r="G42" s="87">
        <v>14389</v>
      </c>
      <c r="H42" s="87">
        <v>236.3005</v>
      </c>
    </row>
    <row r="43" spans="1:8" ht="15">
      <c r="A43" s="81">
        <v>14543</v>
      </c>
      <c r="B43" s="81">
        <v>2.5</v>
      </c>
      <c r="C43" s="81">
        <v>1</v>
      </c>
      <c r="D43" s="81">
        <f t="shared" si="0"/>
        <v>236.3005</v>
      </c>
      <c r="G43" s="87">
        <v>14543</v>
      </c>
      <c r="H43" s="87">
        <v>236.3005</v>
      </c>
    </row>
    <row r="44" spans="1:8" ht="15">
      <c r="A44" s="81">
        <v>20006</v>
      </c>
      <c r="B44" s="81">
        <v>2</v>
      </c>
      <c r="C44" s="81">
        <v>2</v>
      </c>
      <c r="D44" s="81">
        <f t="shared" si="0"/>
        <v>2914.5650000000001</v>
      </c>
      <c r="G44" s="87">
        <v>20006</v>
      </c>
      <c r="H44" s="87">
        <v>2914.5650000000001</v>
      </c>
    </row>
    <row r="45" spans="1:8" ht="15">
      <c r="A45" s="81">
        <v>20046</v>
      </c>
      <c r="B45" s="81">
        <v>3</v>
      </c>
      <c r="C45" s="81">
        <v>3</v>
      </c>
      <c r="D45" s="81">
        <f t="shared" si="0"/>
        <v>1211.2819999999999</v>
      </c>
      <c r="G45" s="87">
        <v>20046</v>
      </c>
      <c r="H45" s="87">
        <v>1211.2819999999999</v>
      </c>
    </row>
    <row r="46" spans="1:8" ht="15">
      <c r="A46" s="81">
        <v>20056</v>
      </c>
      <c r="B46" s="81">
        <v>1</v>
      </c>
      <c r="C46" s="81">
        <v>2</v>
      </c>
      <c r="D46" s="81">
        <f t="shared" si="0"/>
        <v>868.42899999999997</v>
      </c>
      <c r="G46" s="87">
        <v>20056</v>
      </c>
      <c r="H46" s="87">
        <v>868.42899999999997</v>
      </c>
    </row>
    <row r="47" spans="1:8" ht="15">
      <c r="A47" s="81">
        <v>20124</v>
      </c>
      <c r="B47" s="81">
        <v>2.25</v>
      </c>
      <c r="C47" s="81">
        <v>2</v>
      </c>
      <c r="D47" s="81">
        <f t="shared" si="0"/>
        <v>1211.2819999999999</v>
      </c>
      <c r="G47" s="87">
        <v>20098</v>
      </c>
      <c r="H47" s="87">
        <v>2914.5650000000001</v>
      </c>
    </row>
    <row r="48" spans="1:8" ht="15">
      <c r="A48" s="81">
        <v>20178</v>
      </c>
      <c r="B48" s="81">
        <v>2</v>
      </c>
      <c r="C48" s="81">
        <v>2</v>
      </c>
      <c r="D48" s="81">
        <f t="shared" si="0"/>
        <v>868.42899999999997</v>
      </c>
      <c r="G48" s="87">
        <v>20124</v>
      </c>
      <c r="H48" s="87">
        <v>1211.2819999999999</v>
      </c>
    </row>
    <row r="49" spans="1:8" ht="15">
      <c r="A49" s="81">
        <v>20179</v>
      </c>
      <c r="B49" s="81">
        <v>1.5</v>
      </c>
      <c r="C49" s="81">
        <v>1</v>
      </c>
      <c r="D49" s="81">
        <f t="shared" si="0"/>
        <v>1211.2819999999999</v>
      </c>
      <c r="G49" s="87">
        <v>20178</v>
      </c>
      <c r="H49" s="87">
        <v>868.42899999999997</v>
      </c>
    </row>
    <row r="50" spans="1:8" ht="15">
      <c r="A50" s="81">
        <v>20191</v>
      </c>
      <c r="B50" s="81">
        <v>2</v>
      </c>
      <c r="C50" s="81">
        <v>1</v>
      </c>
      <c r="D50" s="81">
        <f t="shared" si="0"/>
        <v>3065.65</v>
      </c>
      <c r="G50" s="87">
        <v>20179</v>
      </c>
      <c r="H50" s="87">
        <v>1211.2819999999999</v>
      </c>
    </row>
    <row r="51" spans="1:8" ht="15">
      <c r="A51" s="81">
        <v>20196</v>
      </c>
      <c r="B51" s="81">
        <v>1.6000000238418599</v>
      </c>
      <c r="C51" s="81">
        <v>1</v>
      </c>
      <c r="D51" s="81">
        <f t="shared" si="0"/>
        <v>868.42899999999997</v>
      </c>
      <c r="G51" s="87">
        <v>20191</v>
      </c>
      <c r="H51" s="87">
        <v>3065.65</v>
      </c>
    </row>
    <row r="52" spans="1:8" ht="15">
      <c r="A52" s="81">
        <v>20199</v>
      </c>
      <c r="B52" s="81">
        <v>1.5</v>
      </c>
      <c r="C52" s="81">
        <v>1</v>
      </c>
      <c r="D52" s="81">
        <f t="shared" si="0"/>
        <v>2128.9459999999999</v>
      </c>
      <c r="G52" s="87">
        <v>20196</v>
      </c>
      <c r="H52" s="87">
        <v>868.42899999999997</v>
      </c>
    </row>
    <row r="53" spans="1:8" ht="15">
      <c r="A53" s="81">
        <v>20210</v>
      </c>
      <c r="B53" s="81">
        <v>2.5</v>
      </c>
      <c r="C53" s="81">
        <v>1</v>
      </c>
      <c r="D53" s="81">
        <f t="shared" si="0"/>
        <v>2128.8850000000002</v>
      </c>
      <c r="G53" s="87">
        <v>20199</v>
      </c>
      <c r="H53" s="87">
        <v>2128.9459999999999</v>
      </c>
    </row>
    <row r="54" spans="1:8" ht="15">
      <c r="A54" s="81">
        <v>20283</v>
      </c>
      <c r="B54" s="81">
        <v>3</v>
      </c>
      <c r="C54" s="81">
        <v>2</v>
      </c>
      <c r="D54" s="81">
        <f t="shared" si="0"/>
        <v>2319.0770000000002</v>
      </c>
      <c r="G54" s="87">
        <v>20210</v>
      </c>
      <c r="H54" s="87">
        <v>2128.8850000000002</v>
      </c>
    </row>
    <row r="55" spans="1:8" ht="15">
      <c r="A55" s="81">
        <v>20300</v>
      </c>
      <c r="B55" s="81">
        <v>3</v>
      </c>
      <c r="C55" s="81">
        <v>2</v>
      </c>
      <c r="D55" s="81">
        <f t="shared" si="0"/>
        <v>2128.8850000000002</v>
      </c>
      <c r="G55" s="87">
        <v>20283</v>
      </c>
      <c r="H55" s="87">
        <v>2319.0770000000002</v>
      </c>
    </row>
    <row r="56" spans="1:8" ht="15">
      <c r="A56" s="81">
        <v>20306</v>
      </c>
      <c r="B56" s="81">
        <v>5.5</v>
      </c>
      <c r="C56" s="81">
        <v>2</v>
      </c>
      <c r="D56" s="81">
        <f t="shared" si="0"/>
        <v>1211.2819999999999</v>
      </c>
      <c r="G56" s="87">
        <v>20300</v>
      </c>
      <c r="H56" s="87">
        <v>2128.8850000000002</v>
      </c>
    </row>
    <row r="57" spans="1:8" ht="15">
      <c r="A57" s="81">
        <v>20317</v>
      </c>
      <c r="B57" s="81">
        <v>1.75</v>
      </c>
      <c r="C57" s="81">
        <v>2</v>
      </c>
      <c r="D57" s="81">
        <f t="shared" si="0"/>
        <v>2319.0770000000002</v>
      </c>
      <c r="G57" s="87">
        <v>20306</v>
      </c>
      <c r="H57" s="87">
        <v>1211.2819999999999</v>
      </c>
    </row>
    <row r="58" spans="1:8" ht="15">
      <c r="A58" s="81">
        <v>20322</v>
      </c>
      <c r="B58" s="81">
        <v>2</v>
      </c>
      <c r="C58" s="81">
        <v>1</v>
      </c>
      <c r="D58" s="81">
        <f t="shared" si="0"/>
        <v>2128.9459999999999</v>
      </c>
      <c r="G58" s="87">
        <v>20317</v>
      </c>
      <c r="H58" s="87">
        <v>2319.0770000000002</v>
      </c>
    </row>
    <row r="59" spans="1:8" ht="15">
      <c r="A59" s="81">
        <v>20364</v>
      </c>
      <c r="B59" s="81">
        <v>2.5</v>
      </c>
      <c r="C59" s="81">
        <v>2</v>
      </c>
      <c r="D59" s="81">
        <f t="shared" si="0"/>
        <v>1211.2819999999999</v>
      </c>
      <c r="G59" s="87">
        <v>20322</v>
      </c>
      <c r="H59" s="87">
        <v>2128.9459999999999</v>
      </c>
    </row>
    <row r="60" spans="1:8" ht="15">
      <c r="A60" s="81">
        <v>20377</v>
      </c>
      <c r="B60" s="81">
        <v>2.2999999523162802</v>
      </c>
      <c r="C60" s="81">
        <v>2</v>
      </c>
      <c r="D60" s="81">
        <f t="shared" si="0"/>
        <v>2319.0770000000002</v>
      </c>
      <c r="G60" s="87">
        <v>20364</v>
      </c>
      <c r="H60" s="87">
        <v>1211.2819999999999</v>
      </c>
    </row>
    <row r="61" spans="1:8" ht="15">
      <c r="A61" s="81">
        <v>20378</v>
      </c>
      <c r="B61" s="81">
        <v>2</v>
      </c>
      <c r="C61" s="81">
        <v>2</v>
      </c>
      <c r="D61" s="81">
        <f t="shared" si="0"/>
        <v>2914.5650000000001</v>
      </c>
      <c r="G61" s="87">
        <v>20377</v>
      </c>
      <c r="H61" s="87">
        <v>2319.0770000000002</v>
      </c>
    </row>
    <row r="62" spans="1:8" ht="15">
      <c r="A62" s="81">
        <v>20391</v>
      </c>
      <c r="B62" s="81">
        <v>2</v>
      </c>
      <c r="C62" s="81">
        <v>1</v>
      </c>
      <c r="D62" s="81">
        <f t="shared" si="0"/>
        <v>3065.65</v>
      </c>
      <c r="G62" s="87">
        <v>20378</v>
      </c>
      <c r="H62" s="87">
        <v>2914.5650000000001</v>
      </c>
    </row>
    <row r="63" spans="1:8" ht="15">
      <c r="A63" s="81">
        <v>20401</v>
      </c>
      <c r="B63" s="81">
        <v>2</v>
      </c>
      <c r="C63" s="81">
        <v>2</v>
      </c>
      <c r="D63" s="81">
        <f t="shared" si="0"/>
        <v>1211.2819999999999</v>
      </c>
      <c r="G63" s="87">
        <v>20391</v>
      </c>
      <c r="H63" s="87">
        <v>3065.65</v>
      </c>
    </row>
    <row r="64" spans="1:8" ht="15">
      <c r="A64" s="81">
        <v>20429</v>
      </c>
      <c r="B64" s="81">
        <v>1.29999995231628</v>
      </c>
      <c r="C64" s="81">
        <v>2</v>
      </c>
      <c r="D64" s="81">
        <f t="shared" si="0"/>
        <v>868.42899999999997</v>
      </c>
      <c r="G64" s="87">
        <v>20401</v>
      </c>
      <c r="H64" s="87">
        <v>1211.2819999999999</v>
      </c>
    </row>
    <row r="65" spans="1:8" ht="15">
      <c r="A65" s="81">
        <v>20439</v>
      </c>
      <c r="B65" s="81">
        <v>3</v>
      </c>
      <c r="C65" s="81">
        <v>1</v>
      </c>
      <c r="D65" s="81">
        <f t="shared" si="0"/>
        <v>2128.9459999999999</v>
      </c>
      <c r="G65" s="87">
        <v>20429</v>
      </c>
      <c r="H65" s="87">
        <v>868.42899999999997</v>
      </c>
    </row>
    <row r="66" spans="1:8" ht="15">
      <c r="A66" s="81">
        <v>20464</v>
      </c>
      <c r="B66" s="81">
        <v>3.5</v>
      </c>
      <c r="C66" s="81">
        <v>2</v>
      </c>
      <c r="D66" s="81">
        <f t="shared" si="0"/>
        <v>2319.0770000000002</v>
      </c>
      <c r="G66" s="87">
        <v>20439</v>
      </c>
      <c r="H66" s="87">
        <v>2128.9459999999999</v>
      </c>
    </row>
    <row r="67" spans="1:8" ht="15">
      <c r="A67" s="81">
        <v>20465</v>
      </c>
      <c r="B67" s="81">
        <v>2</v>
      </c>
      <c r="C67" s="81">
        <v>1</v>
      </c>
      <c r="D67" s="81">
        <f t="shared" ref="D67:D130" si="1">VLOOKUP(A67,$G$2:$H$322,2,FALSE)</f>
        <v>2319.0770000000002</v>
      </c>
      <c r="G67" s="87">
        <v>20464</v>
      </c>
      <c r="H67" s="87">
        <v>2319.0770000000002</v>
      </c>
    </row>
    <row r="68" spans="1:8" ht="15">
      <c r="A68" s="81">
        <v>20470</v>
      </c>
      <c r="B68" s="81">
        <v>2.5</v>
      </c>
      <c r="C68" s="81">
        <v>1</v>
      </c>
      <c r="D68" s="81">
        <f t="shared" si="1"/>
        <v>3065.65</v>
      </c>
      <c r="G68" s="87">
        <v>20465</v>
      </c>
      <c r="H68" s="87">
        <v>2319.0770000000002</v>
      </c>
    </row>
    <row r="69" spans="1:8" ht="15">
      <c r="A69" s="81">
        <v>20484</v>
      </c>
      <c r="B69" s="81">
        <v>2.5</v>
      </c>
      <c r="C69" s="81">
        <v>2</v>
      </c>
      <c r="D69" s="81">
        <f t="shared" si="1"/>
        <v>2128.8850000000002</v>
      </c>
      <c r="G69" s="87">
        <v>20470</v>
      </c>
      <c r="H69" s="87">
        <v>3065.65</v>
      </c>
    </row>
    <row r="70" spans="1:8" ht="15">
      <c r="A70" s="81">
        <v>20511</v>
      </c>
      <c r="B70" s="81">
        <v>2.25</v>
      </c>
      <c r="C70" s="81">
        <v>1</v>
      </c>
      <c r="D70" s="81">
        <f t="shared" si="1"/>
        <v>1211.2819999999999</v>
      </c>
      <c r="G70" s="87">
        <v>20484</v>
      </c>
      <c r="H70" s="87">
        <v>2128.8850000000002</v>
      </c>
    </row>
    <row r="71" spans="1:8" ht="15">
      <c r="A71" s="81">
        <v>20517</v>
      </c>
      <c r="B71" s="81">
        <v>1.75</v>
      </c>
      <c r="C71" s="81">
        <v>2</v>
      </c>
      <c r="D71" s="81">
        <f t="shared" si="1"/>
        <v>2914.5650000000001</v>
      </c>
      <c r="G71" s="87">
        <v>20511</v>
      </c>
      <c r="H71" s="87">
        <v>1211.2819999999999</v>
      </c>
    </row>
    <row r="72" spans="1:8" ht="15">
      <c r="A72" s="81">
        <v>20535</v>
      </c>
      <c r="B72" s="81">
        <v>1</v>
      </c>
      <c r="C72" s="81">
        <v>1</v>
      </c>
      <c r="D72" s="81">
        <f t="shared" si="1"/>
        <v>1211.2819999999999</v>
      </c>
      <c r="G72" s="87">
        <v>20517</v>
      </c>
      <c r="H72" s="87">
        <v>2914.5650000000001</v>
      </c>
    </row>
    <row r="73" spans="1:8" ht="15">
      <c r="A73" s="81">
        <v>20541</v>
      </c>
      <c r="B73" s="81">
        <v>2.5</v>
      </c>
      <c r="C73" s="81">
        <v>1</v>
      </c>
      <c r="D73" s="81">
        <f t="shared" si="1"/>
        <v>1211.2819999999999</v>
      </c>
      <c r="G73" s="87">
        <v>20535</v>
      </c>
      <c r="H73" s="87">
        <v>1211.2819999999999</v>
      </c>
    </row>
    <row r="74" spans="1:8" ht="15">
      <c r="A74" s="81">
        <v>20542</v>
      </c>
      <c r="B74" s="81">
        <v>3.5</v>
      </c>
      <c r="C74" s="81">
        <v>2</v>
      </c>
      <c r="D74" s="81">
        <f t="shared" si="1"/>
        <v>868.42899999999997</v>
      </c>
      <c r="G74" s="87">
        <v>20541</v>
      </c>
      <c r="H74" s="87">
        <v>1211.2819999999999</v>
      </c>
    </row>
    <row r="75" spans="1:8" ht="15">
      <c r="A75" s="81">
        <v>20592</v>
      </c>
      <c r="B75" s="81">
        <v>1.5</v>
      </c>
      <c r="C75" s="81">
        <v>2</v>
      </c>
      <c r="D75" s="81">
        <f t="shared" si="1"/>
        <v>1211.2819999999999</v>
      </c>
      <c r="G75" s="87">
        <v>20542</v>
      </c>
      <c r="H75" s="87">
        <v>868.42899999999997</v>
      </c>
    </row>
    <row r="76" spans="1:8" ht="15">
      <c r="A76" s="81">
        <v>20611</v>
      </c>
      <c r="B76" s="81">
        <v>2.75</v>
      </c>
      <c r="C76" s="81">
        <v>2</v>
      </c>
      <c r="D76" s="81">
        <f t="shared" si="1"/>
        <v>2914.5650000000001</v>
      </c>
      <c r="G76" s="87">
        <v>20592</v>
      </c>
      <c r="H76" s="87">
        <v>1211.2819999999999</v>
      </c>
    </row>
    <row r="77" spans="1:8" ht="15">
      <c r="A77" s="81">
        <v>20621</v>
      </c>
      <c r="B77" s="81">
        <v>1.25</v>
      </c>
      <c r="C77" s="81">
        <v>1</v>
      </c>
      <c r="D77" s="81">
        <f t="shared" si="1"/>
        <v>2319.0770000000002</v>
      </c>
      <c r="G77" s="87">
        <v>20611</v>
      </c>
      <c r="H77" s="87">
        <v>2914.5650000000001</v>
      </c>
    </row>
    <row r="78" spans="1:8" ht="15">
      <c r="A78" s="81">
        <v>20630</v>
      </c>
      <c r="B78" s="81">
        <v>2.5</v>
      </c>
      <c r="C78" s="81">
        <v>2</v>
      </c>
      <c r="D78" s="81">
        <f t="shared" si="1"/>
        <v>868.42899999999997</v>
      </c>
      <c r="G78" s="87">
        <v>20621</v>
      </c>
      <c r="H78" s="87">
        <v>2319.0770000000002</v>
      </c>
    </row>
    <row r="79" spans="1:8" ht="15">
      <c r="A79" s="81">
        <v>20639</v>
      </c>
      <c r="B79" s="81">
        <v>2.5</v>
      </c>
      <c r="C79" s="81">
        <v>2</v>
      </c>
      <c r="D79" s="81">
        <f t="shared" si="1"/>
        <v>868.42899999999997</v>
      </c>
      <c r="G79" s="87">
        <v>20630</v>
      </c>
      <c r="H79" s="87">
        <v>868.42899999999997</v>
      </c>
    </row>
    <row r="80" spans="1:8" ht="15">
      <c r="A80" s="81">
        <v>20654</v>
      </c>
      <c r="B80" s="81">
        <v>1.29999995231628</v>
      </c>
      <c r="C80" s="81">
        <v>1</v>
      </c>
      <c r="D80" s="81">
        <f t="shared" si="1"/>
        <v>868.42899999999997</v>
      </c>
      <c r="G80" s="87">
        <v>20639</v>
      </c>
      <c r="H80" s="87">
        <v>868.42899999999997</v>
      </c>
    </row>
    <row r="81" spans="1:8" ht="15">
      <c r="A81" s="81">
        <v>20656</v>
      </c>
      <c r="B81" s="81">
        <v>2.5</v>
      </c>
      <c r="C81" s="81">
        <v>1</v>
      </c>
      <c r="D81" s="81">
        <f t="shared" si="1"/>
        <v>868.42899999999997</v>
      </c>
      <c r="G81" s="87">
        <v>20654</v>
      </c>
      <c r="H81" s="87">
        <v>868.42899999999997</v>
      </c>
    </row>
    <row r="82" spans="1:8" ht="15">
      <c r="A82" s="81">
        <v>20681</v>
      </c>
      <c r="B82" s="81">
        <v>2.5</v>
      </c>
      <c r="C82" s="81">
        <v>1</v>
      </c>
      <c r="D82" s="81">
        <f t="shared" si="1"/>
        <v>1211.2819999999999</v>
      </c>
      <c r="G82" s="87">
        <v>20656</v>
      </c>
      <c r="H82" s="87">
        <v>868.42899999999997</v>
      </c>
    </row>
    <row r="83" spans="1:8" ht="15">
      <c r="A83" s="81">
        <v>20682</v>
      </c>
      <c r="B83" s="81">
        <v>2</v>
      </c>
      <c r="C83" s="81">
        <v>2</v>
      </c>
      <c r="D83" s="81">
        <f t="shared" si="1"/>
        <v>2128.8850000000002</v>
      </c>
      <c r="G83" s="87">
        <v>20681</v>
      </c>
      <c r="H83" s="87">
        <v>1211.2819999999999</v>
      </c>
    </row>
    <row r="84" spans="1:8" ht="15">
      <c r="A84" s="81">
        <v>20689</v>
      </c>
      <c r="B84" s="81">
        <v>2</v>
      </c>
      <c r="C84" s="81">
        <v>2</v>
      </c>
      <c r="D84" s="81">
        <f t="shared" si="1"/>
        <v>1211.2819999999999</v>
      </c>
      <c r="G84" s="87">
        <v>20682</v>
      </c>
      <c r="H84" s="87">
        <v>2128.8850000000002</v>
      </c>
    </row>
    <row r="85" spans="1:8" ht="15">
      <c r="A85" s="81">
        <v>20697</v>
      </c>
      <c r="B85" s="81">
        <v>2.5</v>
      </c>
      <c r="C85" s="81">
        <v>2</v>
      </c>
      <c r="D85" s="81">
        <f t="shared" si="1"/>
        <v>868.42899999999997</v>
      </c>
      <c r="G85" s="87">
        <v>20689</v>
      </c>
      <c r="H85" s="87">
        <v>1211.2819999999999</v>
      </c>
    </row>
    <row r="86" spans="1:8" ht="15">
      <c r="A86" s="81">
        <v>20722</v>
      </c>
      <c r="B86" s="81">
        <v>2</v>
      </c>
      <c r="C86" s="81">
        <v>2</v>
      </c>
      <c r="D86" s="81">
        <f t="shared" si="1"/>
        <v>1211.2819999999999</v>
      </c>
      <c r="G86" s="87">
        <v>20697</v>
      </c>
      <c r="H86" s="87">
        <v>868.42899999999997</v>
      </c>
    </row>
    <row r="87" spans="1:8" ht="15">
      <c r="A87" s="81">
        <v>20729</v>
      </c>
      <c r="B87" s="81">
        <v>2</v>
      </c>
      <c r="C87" s="81">
        <v>2</v>
      </c>
      <c r="D87" s="81">
        <f t="shared" si="1"/>
        <v>3065.65</v>
      </c>
      <c r="G87" s="87">
        <v>20722</v>
      </c>
      <c r="H87" s="87">
        <v>1211.2819999999999</v>
      </c>
    </row>
    <row r="88" spans="1:8" ht="15">
      <c r="A88" s="81">
        <v>20731</v>
      </c>
      <c r="B88" s="81">
        <v>1.75</v>
      </c>
      <c r="C88" s="81">
        <v>2</v>
      </c>
      <c r="D88" s="81">
        <f t="shared" si="1"/>
        <v>868.42899999999997</v>
      </c>
      <c r="G88" s="87">
        <v>20729</v>
      </c>
      <c r="H88" s="87">
        <v>3065.65</v>
      </c>
    </row>
    <row r="89" spans="1:8" ht="15">
      <c r="A89" s="81">
        <v>20733</v>
      </c>
      <c r="B89" s="81">
        <v>2.5</v>
      </c>
      <c r="C89" s="81">
        <v>2</v>
      </c>
      <c r="D89" s="81">
        <f t="shared" si="1"/>
        <v>1211.2819999999999</v>
      </c>
      <c r="G89" s="87">
        <v>20731</v>
      </c>
      <c r="H89" s="87">
        <v>868.42899999999997</v>
      </c>
    </row>
    <row r="90" spans="1:8" ht="15">
      <c r="A90" s="81">
        <v>20736</v>
      </c>
      <c r="B90" s="81">
        <v>2.5</v>
      </c>
      <c r="C90" s="81">
        <v>1</v>
      </c>
      <c r="D90" s="81">
        <f t="shared" si="1"/>
        <v>1211.2819999999999</v>
      </c>
      <c r="G90" s="87">
        <v>20733</v>
      </c>
      <c r="H90" s="87">
        <v>1211.2819999999999</v>
      </c>
    </row>
    <row r="91" spans="1:8" ht="15">
      <c r="A91" s="81">
        <v>20804</v>
      </c>
      <c r="B91" s="81">
        <v>2</v>
      </c>
      <c r="C91" s="81">
        <v>2</v>
      </c>
      <c r="D91" s="81">
        <f t="shared" si="1"/>
        <v>1211.2819999999999</v>
      </c>
      <c r="G91" s="87">
        <v>20736</v>
      </c>
      <c r="H91" s="87">
        <v>1211.2819999999999</v>
      </c>
    </row>
    <row r="92" spans="1:8" ht="15">
      <c r="A92" s="81">
        <v>20832</v>
      </c>
      <c r="B92" s="81">
        <v>2</v>
      </c>
      <c r="C92" s="81">
        <v>2</v>
      </c>
      <c r="D92" s="81">
        <f t="shared" si="1"/>
        <v>3065.65</v>
      </c>
      <c r="G92" s="87">
        <v>20804</v>
      </c>
      <c r="H92" s="87">
        <v>1211.2819999999999</v>
      </c>
    </row>
    <row r="93" spans="1:8" ht="15">
      <c r="A93" s="81">
        <v>20849</v>
      </c>
      <c r="B93" s="81">
        <v>2.25</v>
      </c>
      <c r="C93" s="81">
        <v>2</v>
      </c>
      <c r="D93" s="81">
        <f t="shared" si="1"/>
        <v>1211.2819999999999</v>
      </c>
      <c r="G93" s="87">
        <v>20832</v>
      </c>
      <c r="H93" s="87">
        <v>3065.65</v>
      </c>
    </row>
    <row r="94" spans="1:8" ht="15">
      <c r="A94" s="81">
        <v>20858</v>
      </c>
      <c r="B94" s="81">
        <v>3.25</v>
      </c>
      <c r="C94" s="81">
        <v>2</v>
      </c>
      <c r="D94" s="81">
        <f t="shared" si="1"/>
        <v>2128.9459999999999</v>
      </c>
      <c r="G94" s="87">
        <v>20849</v>
      </c>
      <c r="H94" s="87">
        <v>1211.2819999999999</v>
      </c>
    </row>
    <row r="95" spans="1:8" ht="15">
      <c r="A95" s="81">
        <v>20874</v>
      </c>
      <c r="B95" s="81">
        <v>2.5</v>
      </c>
      <c r="C95" s="81">
        <v>1</v>
      </c>
      <c r="D95" s="81">
        <f t="shared" si="1"/>
        <v>3065.65</v>
      </c>
      <c r="G95" s="87">
        <v>20858</v>
      </c>
      <c r="H95" s="87">
        <v>2128.9459999999999</v>
      </c>
    </row>
    <row r="96" spans="1:8" ht="15">
      <c r="A96" s="81">
        <v>20879</v>
      </c>
      <c r="B96" s="81">
        <v>3</v>
      </c>
      <c r="C96" s="81">
        <v>2</v>
      </c>
      <c r="D96" s="81">
        <f t="shared" si="1"/>
        <v>2128.9459999999999</v>
      </c>
      <c r="G96" s="87">
        <v>20874</v>
      </c>
      <c r="H96" s="87">
        <v>3065.65</v>
      </c>
    </row>
    <row r="97" spans="1:8" ht="15">
      <c r="A97" s="81">
        <v>20881</v>
      </c>
      <c r="B97" s="81">
        <v>2.5999999046325701</v>
      </c>
      <c r="C97" s="81">
        <v>1</v>
      </c>
      <c r="D97" s="81">
        <f t="shared" si="1"/>
        <v>2319.0770000000002</v>
      </c>
      <c r="G97" s="87">
        <v>20879</v>
      </c>
      <c r="H97" s="87">
        <v>2128.9459999999999</v>
      </c>
    </row>
    <row r="98" spans="1:8" ht="15">
      <c r="A98" s="81">
        <v>20907</v>
      </c>
      <c r="B98" s="81">
        <v>5</v>
      </c>
      <c r="C98" s="81">
        <v>2</v>
      </c>
      <c r="D98" s="81">
        <f t="shared" si="1"/>
        <v>2319.0770000000002</v>
      </c>
      <c r="G98" s="87">
        <v>20881</v>
      </c>
      <c r="H98" s="87">
        <v>2319.0770000000002</v>
      </c>
    </row>
    <row r="99" spans="1:8" ht="15">
      <c r="A99" s="81">
        <v>20956</v>
      </c>
      <c r="B99" s="81">
        <v>3</v>
      </c>
      <c r="C99" s="81">
        <v>1</v>
      </c>
      <c r="D99" s="81">
        <f t="shared" si="1"/>
        <v>2319.0770000000002</v>
      </c>
      <c r="G99" s="87">
        <v>20907</v>
      </c>
      <c r="H99" s="87">
        <v>2319.0770000000002</v>
      </c>
    </row>
    <row r="100" spans="1:8" ht="15">
      <c r="A100" s="81">
        <v>20997</v>
      </c>
      <c r="B100" s="81">
        <v>2</v>
      </c>
      <c r="C100" s="81">
        <v>1</v>
      </c>
      <c r="D100" s="81">
        <f t="shared" si="1"/>
        <v>868.42899999999997</v>
      </c>
      <c r="G100" s="87">
        <v>20956</v>
      </c>
      <c r="H100" s="87">
        <v>2319.0770000000002</v>
      </c>
    </row>
    <row r="101" spans="1:8" ht="15">
      <c r="A101" s="81">
        <v>21065</v>
      </c>
      <c r="B101" s="81">
        <v>2.5</v>
      </c>
      <c r="C101" s="81">
        <v>2</v>
      </c>
      <c r="D101" s="81">
        <f t="shared" si="1"/>
        <v>2128.9459999999999</v>
      </c>
      <c r="G101" s="87">
        <v>20997</v>
      </c>
      <c r="H101" s="87">
        <v>868.42899999999997</v>
      </c>
    </row>
    <row r="102" spans="1:8" ht="15">
      <c r="A102" s="81">
        <v>21071</v>
      </c>
      <c r="B102" s="81">
        <v>1</v>
      </c>
      <c r="C102" s="81">
        <v>2</v>
      </c>
      <c r="D102" s="81">
        <f t="shared" si="1"/>
        <v>2319.0770000000002</v>
      </c>
      <c r="G102" s="87">
        <v>21065</v>
      </c>
      <c r="H102" s="87">
        <v>2128.9459999999999</v>
      </c>
    </row>
    <row r="103" spans="1:8" ht="15">
      <c r="A103" s="81">
        <v>21079</v>
      </c>
      <c r="B103" s="81">
        <v>2.5</v>
      </c>
      <c r="C103" s="81">
        <v>2</v>
      </c>
      <c r="D103" s="81">
        <f t="shared" si="1"/>
        <v>1211.2819999999999</v>
      </c>
      <c r="G103" s="87">
        <v>21071</v>
      </c>
      <c r="H103" s="87">
        <v>2319.0770000000002</v>
      </c>
    </row>
    <row r="104" spans="1:8" ht="15">
      <c r="A104" s="81">
        <v>21088</v>
      </c>
      <c r="B104" s="81">
        <v>2.5</v>
      </c>
      <c r="C104" s="81">
        <v>2</v>
      </c>
      <c r="D104" s="81">
        <f t="shared" si="1"/>
        <v>868.42899999999997</v>
      </c>
      <c r="G104" s="87">
        <v>21079</v>
      </c>
      <c r="H104" s="87">
        <v>1211.2819999999999</v>
      </c>
    </row>
    <row r="105" spans="1:8" ht="15">
      <c r="A105" s="81">
        <v>21096</v>
      </c>
      <c r="B105" s="81">
        <v>2.5</v>
      </c>
      <c r="C105" s="81">
        <v>1</v>
      </c>
      <c r="D105" s="81">
        <f t="shared" si="1"/>
        <v>2128.9459999999999</v>
      </c>
      <c r="G105" s="87">
        <v>21088</v>
      </c>
      <c r="H105" s="87">
        <v>868.42899999999997</v>
      </c>
    </row>
    <row r="106" spans="1:8" ht="15">
      <c r="A106" s="81">
        <v>21110</v>
      </c>
      <c r="B106" s="81">
        <v>2.75</v>
      </c>
      <c r="C106" s="81">
        <v>2</v>
      </c>
      <c r="D106" s="81">
        <f t="shared" si="1"/>
        <v>2914.5650000000001</v>
      </c>
      <c r="G106" s="87">
        <v>21096</v>
      </c>
      <c r="H106" s="87">
        <v>2128.9459999999999</v>
      </c>
    </row>
    <row r="107" spans="1:8" ht="15">
      <c r="A107" s="81">
        <v>21123</v>
      </c>
      <c r="B107" s="81">
        <v>2</v>
      </c>
      <c r="C107" s="81">
        <v>1</v>
      </c>
      <c r="D107" s="81">
        <f t="shared" si="1"/>
        <v>1211.2819999999999</v>
      </c>
      <c r="G107" s="87">
        <v>21110</v>
      </c>
      <c r="H107" s="87">
        <v>2914.5650000000001</v>
      </c>
    </row>
    <row r="108" spans="1:8" ht="15">
      <c r="A108" s="81">
        <v>21126</v>
      </c>
      <c r="B108" s="81">
        <v>3</v>
      </c>
      <c r="C108" s="81">
        <v>1</v>
      </c>
      <c r="D108" s="81">
        <f t="shared" si="1"/>
        <v>868.42899999999997</v>
      </c>
      <c r="G108" s="87">
        <v>21123</v>
      </c>
      <c r="H108" s="87">
        <v>1211.2819999999999</v>
      </c>
    </row>
    <row r="109" spans="1:8" ht="15">
      <c r="A109" s="81">
        <v>21133</v>
      </c>
      <c r="B109" s="81">
        <v>2.5</v>
      </c>
      <c r="C109" s="81">
        <v>2</v>
      </c>
      <c r="D109" s="81">
        <f t="shared" si="1"/>
        <v>1211.2819999999999</v>
      </c>
      <c r="G109" s="87">
        <v>21126</v>
      </c>
      <c r="H109" s="87">
        <v>868.42899999999997</v>
      </c>
    </row>
    <row r="110" spans="1:8" ht="15">
      <c r="A110" s="81">
        <v>21140</v>
      </c>
      <c r="B110" s="81">
        <v>2.7999999523162802</v>
      </c>
      <c r="C110" s="81">
        <v>2</v>
      </c>
      <c r="D110" s="81">
        <f t="shared" si="1"/>
        <v>2319.0770000000002</v>
      </c>
      <c r="G110" s="87">
        <v>21133</v>
      </c>
      <c r="H110" s="87">
        <v>1211.2819999999999</v>
      </c>
    </row>
    <row r="111" spans="1:8" ht="15">
      <c r="A111" s="81">
        <v>21226</v>
      </c>
      <c r="B111" s="81">
        <v>2.25</v>
      </c>
      <c r="C111" s="81">
        <v>2</v>
      </c>
      <c r="D111" s="81">
        <f t="shared" si="1"/>
        <v>2319.0770000000002</v>
      </c>
      <c r="G111" s="87">
        <v>21140</v>
      </c>
      <c r="H111" s="87">
        <v>2319.0770000000002</v>
      </c>
    </row>
    <row r="112" spans="1:8" ht="15">
      <c r="A112" s="81">
        <v>21235</v>
      </c>
      <c r="B112" s="81">
        <v>2.5</v>
      </c>
      <c r="C112" s="81">
        <v>3</v>
      </c>
      <c r="D112" s="81">
        <f t="shared" si="1"/>
        <v>2914.5650000000001</v>
      </c>
      <c r="G112" s="87">
        <v>21226</v>
      </c>
      <c r="H112" s="87">
        <v>2319.0770000000002</v>
      </c>
    </row>
    <row r="113" spans="1:8" ht="15">
      <c r="A113" s="81">
        <v>21241</v>
      </c>
      <c r="B113" s="81">
        <v>2.5</v>
      </c>
      <c r="C113" s="81">
        <v>1</v>
      </c>
      <c r="D113" s="81">
        <f t="shared" si="1"/>
        <v>3065.65</v>
      </c>
      <c r="G113" s="87">
        <v>21235</v>
      </c>
      <c r="H113" s="87">
        <v>2914.5650000000001</v>
      </c>
    </row>
    <row r="114" spans="1:8" ht="15">
      <c r="A114" s="81">
        <v>21278</v>
      </c>
      <c r="B114" s="81">
        <v>1</v>
      </c>
      <c r="C114" s="81">
        <v>2</v>
      </c>
      <c r="D114" s="81">
        <f t="shared" si="1"/>
        <v>1211.2819999999999</v>
      </c>
      <c r="G114" s="87">
        <v>21241</v>
      </c>
      <c r="H114" s="87">
        <v>3065.65</v>
      </c>
    </row>
    <row r="115" spans="1:8" ht="15">
      <c r="A115" s="81">
        <v>21279</v>
      </c>
      <c r="B115" s="81">
        <v>2.5</v>
      </c>
      <c r="C115" s="81">
        <v>2</v>
      </c>
      <c r="D115" s="81">
        <f t="shared" si="1"/>
        <v>1211.2819999999999</v>
      </c>
      <c r="G115" s="87">
        <v>21278</v>
      </c>
      <c r="H115" s="87">
        <v>1211.2819999999999</v>
      </c>
    </row>
    <row r="116" spans="1:8" ht="15">
      <c r="A116" s="81">
        <v>21288</v>
      </c>
      <c r="B116" s="81">
        <v>1</v>
      </c>
      <c r="C116" s="81">
        <v>1</v>
      </c>
      <c r="D116" s="81">
        <f t="shared" si="1"/>
        <v>868.42899999999997</v>
      </c>
      <c r="G116" s="87">
        <v>21279</v>
      </c>
      <c r="H116" s="87">
        <v>1211.2819999999999</v>
      </c>
    </row>
    <row r="117" spans="1:8" ht="15">
      <c r="A117" s="81">
        <v>21315</v>
      </c>
      <c r="B117" s="81">
        <v>2</v>
      </c>
      <c r="C117" s="81">
        <v>3</v>
      </c>
      <c r="D117" s="81">
        <f t="shared" si="1"/>
        <v>868.42899999999997</v>
      </c>
      <c r="G117" s="87">
        <v>21288</v>
      </c>
      <c r="H117" s="87">
        <v>868.42899999999997</v>
      </c>
    </row>
    <row r="118" spans="1:8" ht="15">
      <c r="A118" s="81">
        <v>21354</v>
      </c>
      <c r="B118" s="81">
        <v>2.5</v>
      </c>
      <c r="C118" s="81">
        <v>2</v>
      </c>
      <c r="D118" s="81">
        <f t="shared" si="1"/>
        <v>1211.2819999999999</v>
      </c>
      <c r="G118" s="87">
        <v>21315</v>
      </c>
      <c r="H118" s="87">
        <v>868.42899999999997</v>
      </c>
    </row>
    <row r="119" spans="1:8" ht="15">
      <c r="A119" s="81">
        <v>21369</v>
      </c>
      <c r="B119" s="81">
        <v>1.3999999761581401</v>
      </c>
      <c r="C119" s="81">
        <v>2</v>
      </c>
      <c r="D119" s="81">
        <f t="shared" si="1"/>
        <v>868.42899999999997</v>
      </c>
      <c r="G119" s="87">
        <v>21354</v>
      </c>
      <c r="H119" s="87">
        <v>1211.2819999999999</v>
      </c>
    </row>
    <row r="120" spans="1:8" ht="15">
      <c r="A120" s="81">
        <v>21395</v>
      </c>
      <c r="B120" s="81">
        <v>2.5</v>
      </c>
      <c r="C120" s="81">
        <v>1</v>
      </c>
      <c r="D120" s="81">
        <f t="shared" si="1"/>
        <v>1211.2819999999999</v>
      </c>
      <c r="G120" s="87">
        <v>21369</v>
      </c>
      <c r="H120" s="87">
        <v>868.42899999999997</v>
      </c>
    </row>
    <row r="121" spans="1:8" ht="15">
      <c r="A121" s="81">
        <v>21429</v>
      </c>
      <c r="B121" s="81">
        <v>1.5</v>
      </c>
      <c r="C121" s="81">
        <v>2</v>
      </c>
      <c r="D121" s="81">
        <f t="shared" si="1"/>
        <v>3065.65</v>
      </c>
      <c r="G121" s="87">
        <v>21395</v>
      </c>
      <c r="H121" s="87">
        <v>1211.2819999999999</v>
      </c>
    </row>
    <row r="122" spans="1:8" ht="15">
      <c r="A122" s="81">
        <v>21518</v>
      </c>
      <c r="B122" s="81">
        <v>1.3999999761581401</v>
      </c>
      <c r="C122" s="81">
        <v>2</v>
      </c>
      <c r="D122" s="81">
        <f t="shared" si="1"/>
        <v>2319.0770000000002</v>
      </c>
      <c r="G122" s="87">
        <v>21429</v>
      </c>
      <c r="H122" s="87">
        <v>3065.65</v>
      </c>
    </row>
    <row r="123" spans="1:8" ht="15">
      <c r="A123" s="81">
        <v>21535</v>
      </c>
      <c r="B123" s="81">
        <v>2</v>
      </c>
      <c r="C123" s="81">
        <v>2</v>
      </c>
      <c r="D123" s="81">
        <f t="shared" si="1"/>
        <v>2128.9459999999999</v>
      </c>
      <c r="G123" s="87">
        <v>21518</v>
      </c>
      <c r="H123" s="87">
        <v>2319.0770000000002</v>
      </c>
    </row>
    <row r="124" spans="1:8" ht="15">
      <c r="A124" s="81">
        <v>21548</v>
      </c>
      <c r="B124" s="81">
        <v>3</v>
      </c>
      <c r="C124" s="81">
        <v>1</v>
      </c>
      <c r="D124" s="81">
        <f t="shared" si="1"/>
        <v>3065.65</v>
      </c>
      <c r="G124" s="87">
        <v>21535</v>
      </c>
      <c r="H124" s="87">
        <v>2128.9459999999999</v>
      </c>
    </row>
    <row r="125" spans="1:8" ht="15">
      <c r="A125" s="81">
        <v>21555</v>
      </c>
      <c r="B125" s="81">
        <v>2</v>
      </c>
      <c r="C125" s="81">
        <v>1</v>
      </c>
      <c r="D125" s="81">
        <f t="shared" si="1"/>
        <v>3065.65</v>
      </c>
      <c r="G125" s="87">
        <v>21548</v>
      </c>
      <c r="H125" s="87">
        <v>3065.65</v>
      </c>
    </row>
    <row r="126" spans="1:8" ht="15">
      <c r="A126" s="81">
        <v>21559</v>
      </c>
      <c r="B126" s="81">
        <v>2.5</v>
      </c>
      <c r="C126" s="81">
        <v>2</v>
      </c>
      <c r="D126" s="81">
        <f t="shared" si="1"/>
        <v>1211.2819999999999</v>
      </c>
      <c r="G126" s="87">
        <v>21555</v>
      </c>
      <c r="H126" s="87">
        <v>3065.65</v>
      </c>
    </row>
    <row r="127" spans="1:8" ht="15">
      <c r="A127" s="81">
        <v>21571</v>
      </c>
      <c r="B127" s="81">
        <v>2.5</v>
      </c>
      <c r="C127" s="81">
        <v>2</v>
      </c>
      <c r="D127" s="81">
        <f t="shared" si="1"/>
        <v>2914.5650000000001</v>
      </c>
      <c r="G127" s="87">
        <v>21559</v>
      </c>
      <c r="H127" s="87">
        <v>1211.2819999999999</v>
      </c>
    </row>
    <row r="128" spans="1:8" ht="15">
      <c r="A128" s="81">
        <v>21580</v>
      </c>
      <c r="B128" s="81">
        <v>2.5</v>
      </c>
      <c r="C128" s="81">
        <v>1</v>
      </c>
      <c r="D128" s="81">
        <f t="shared" si="1"/>
        <v>2319.0770000000002</v>
      </c>
      <c r="G128" s="87">
        <v>21571</v>
      </c>
      <c r="H128" s="87">
        <v>2914.5650000000001</v>
      </c>
    </row>
    <row r="129" spans="1:8" ht="15">
      <c r="A129" s="81">
        <v>21594</v>
      </c>
      <c r="B129" s="81">
        <v>4</v>
      </c>
      <c r="C129" s="81">
        <v>2</v>
      </c>
      <c r="D129" s="81">
        <f t="shared" si="1"/>
        <v>2319.0770000000002</v>
      </c>
      <c r="G129" s="87">
        <v>21580</v>
      </c>
      <c r="H129" s="87">
        <v>2319.0770000000002</v>
      </c>
    </row>
    <row r="130" spans="1:8" ht="15">
      <c r="A130" s="81">
        <v>21599</v>
      </c>
      <c r="B130" s="81">
        <v>1.5</v>
      </c>
      <c r="C130" s="81">
        <v>2</v>
      </c>
      <c r="D130" s="81">
        <f t="shared" si="1"/>
        <v>2128.8850000000002</v>
      </c>
      <c r="G130" s="87">
        <v>21594</v>
      </c>
      <c r="H130" s="87">
        <v>2319.0770000000002</v>
      </c>
    </row>
    <row r="131" spans="1:8" ht="15">
      <c r="A131" s="81">
        <v>21630</v>
      </c>
      <c r="B131" s="81">
        <v>2.5</v>
      </c>
      <c r="C131" s="81">
        <v>2</v>
      </c>
      <c r="D131" s="81">
        <f t="shared" ref="D131:D194" si="2">VLOOKUP(A131,$G$2:$H$322,2,FALSE)</f>
        <v>3065.65</v>
      </c>
      <c r="G131" s="87">
        <v>21599</v>
      </c>
      <c r="H131" s="87">
        <v>2128.8850000000002</v>
      </c>
    </row>
    <row r="132" spans="1:8" ht="15">
      <c r="A132" s="81">
        <v>21631</v>
      </c>
      <c r="B132" s="81">
        <v>2.5</v>
      </c>
      <c r="C132" s="81">
        <v>1</v>
      </c>
      <c r="D132" s="81">
        <f t="shared" si="2"/>
        <v>3065.65</v>
      </c>
      <c r="G132" s="87">
        <v>21630</v>
      </c>
      <c r="H132" s="87">
        <v>3065.65</v>
      </c>
    </row>
    <row r="133" spans="1:8" ht="15">
      <c r="A133" s="81">
        <v>21676</v>
      </c>
      <c r="B133" s="81">
        <v>1</v>
      </c>
      <c r="C133" s="81">
        <v>1</v>
      </c>
      <c r="D133" s="81">
        <f t="shared" si="2"/>
        <v>1211.2819999999999</v>
      </c>
      <c r="G133" s="87">
        <v>21631</v>
      </c>
      <c r="H133" s="87">
        <v>3065.65</v>
      </c>
    </row>
    <row r="134" spans="1:8" ht="15">
      <c r="A134" s="81">
        <v>21723</v>
      </c>
      <c r="B134" s="81">
        <v>3</v>
      </c>
      <c r="C134" s="81">
        <v>3</v>
      </c>
      <c r="D134" s="81">
        <f t="shared" si="2"/>
        <v>2914.5650000000001</v>
      </c>
      <c r="G134" s="87">
        <v>21676</v>
      </c>
      <c r="H134" s="87">
        <v>1211.2819999999999</v>
      </c>
    </row>
    <row r="135" spans="1:8" ht="15">
      <c r="A135" s="81">
        <v>21729</v>
      </c>
      <c r="B135" s="81">
        <v>4</v>
      </c>
      <c r="C135" s="81">
        <v>1</v>
      </c>
      <c r="D135" s="81">
        <f t="shared" si="2"/>
        <v>2319.0770000000002</v>
      </c>
      <c r="G135" s="87">
        <v>21723</v>
      </c>
      <c r="H135" s="87">
        <v>2914.5650000000001</v>
      </c>
    </row>
    <row r="136" spans="1:8" ht="15">
      <c r="A136" s="81">
        <v>21731</v>
      </c>
      <c r="B136" s="81">
        <v>1.75</v>
      </c>
      <c r="C136" s="81">
        <v>1</v>
      </c>
      <c r="D136" s="81">
        <f t="shared" si="2"/>
        <v>3065.65</v>
      </c>
      <c r="G136" s="87">
        <v>21729</v>
      </c>
      <c r="H136" s="87">
        <v>2319.0770000000002</v>
      </c>
    </row>
    <row r="137" spans="1:8" ht="15">
      <c r="A137" s="81">
        <v>21745</v>
      </c>
      <c r="B137" s="81">
        <v>2.25</v>
      </c>
      <c r="C137" s="81">
        <v>2</v>
      </c>
      <c r="D137" s="81">
        <f t="shared" si="2"/>
        <v>3065.65</v>
      </c>
      <c r="G137" s="87">
        <v>21731</v>
      </c>
      <c r="H137" s="87">
        <v>3065.65</v>
      </c>
    </row>
    <row r="138" spans="1:8" ht="15">
      <c r="A138" s="81">
        <v>21760</v>
      </c>
      <c r="B138" s="81">
        <v>2</v>
      </c>
      <c r="C138" s="81">
        <v>1</v>
      </c>
      <c r="D138" s="81">
        <f t="shared" si="2"/>
        <v>1211.2819999999999</v>
      </c>
      <c r="G138" s="87">
        <v>21745</v>
      </c>
      <c r="H138" s="87">
        <v>3065.65</v>
      </c>
    </row>
    <row r="139" spans="1:8" ht="15">
      <c r="A139" s="81">
        <v>21765</v>
      </c>
      <c r="B139" s="81">
        <v>2.25</v>
      </c>
      <c r="C139" s="81">
        <v>1</v>
      </c>
      <c r="D139" s="81">
        <f t="shared" si="2"/>
        <v>868.42899999999997</v>
      </c>
      <c r="G139" s="87">
        <v>21760</v>
      </c>
      <c r="H139" s="87">
        <v>1211.2819999999999</v>
      </c>
    </row>
    <row r="140" spans="1:8" ht="15">
      <c r="A140" s="81">
        <v>21766</v>
      </c>
      <c r="B140" s="81">
        <v>2.5</v>
      </c>
      <c r="C140" s="81">
        <v>1</v>
      </c>
      <c r="D140" s="81">
        <f t="shared" si="2"/>
        <v>1211.2819999999999</v>
      </c>
      <c r="G140" s="87">
        <v>21765</v>
      </c>
      <c r="H140" s="87">
        <v>868.42899999999997</v>
      </c>
    </row>
    <row r="141" spans="1:8" ht="15">
      <c r="A141" s="81">
        <v>21774</v>
      </c>
      <c r="B141" s="81">
        <v>2.25</v>
      </c>
      <c r="C141" s="81">
        <v>2</v>
      </c>
      <c r="D141" s="81">
        <f t="shared" si="2"/>
        <v>3065.65</v>
      </c>
      <c r="G141" s="87">
        <v>21766</v>
      </c>
      <c r="H141" s="87">
        <v>1211.2819999999999</v>
      </c>
    </row>
    <row r="142" spans="1:8" ht="15">
      <c r="A142" s="81">
        <v>21819</v>
      </c>
      <c r="B142" s="81">
        <v>2</v>
      </c>
      <c r="C142" s="81">
        <v>1</v>
      </c>
      <c r="D142" s="81">
        <f t="shared" si="2"/>
        <v>868.42899999999997</v>
      </c>
      <c r="G142" s="87">
        <v>21774</v>
      </c>
      <c r="H142" s="87">
        <v>3065.65</v>
      </c>
    </row>
    <row r="143" spans="1:8" ht="15">
      <c r="A143" s="81">
        <v>21820</v>
      </c>
      <c r="B143" s="81">
        <v>2.5</v>
      </c>
      <c r="C143" s="81">
        <v>2</v>
      </c>
      <c r="D143" s="81">
        <f t="shared" si="2"/>
        <v>3065.65</v>
      </c>
      <c r="G143" s="87">
        <v>21819</v>
      </c>
      <c r="H143" s="87">
        <v>868.42899999999997</v>
      </c>
    </row>
    <row r="144" spans="1:8" ht="15">
      <c r="A144" s="81">
        <v>21846</v>
      </c>
      <c r="B144" s="81">
        <v>2.5</v>
      </c>
      <c r="C144" s="81">
        <v>1</v>
      </c>
      <c r="D144" s="81">
        <f t="shared" si="2"/>
        <v>2128.8850000000002</v>
      </c>
      <c r="G144" s="87">
        <v>21820</v>
      </c>
      <c r="H144" s="87">
        <v>3065.65</v>
      </c>
    </row>
    <row r="145" spans="1:8" ht="15">
      <c r="A145" s="81">
        <v>21855</v>
      </c>
      <c r="B145" s="81">
        <v>2.25</v>
      </c>
      <c r="C145" s="81">
        <v>2</v>
      </c>
      <c r="D145" s="81">
        <f t="shared" si="2"/>
        <v>3065.65</v>
      </c>
      <c r="G145" s="87">
        <v>21846</v>
      </c>
      <c r="H145" s="87">
        <v>2128.8850000000002</v>
      </c>
    </row>
    <row r="146" spans="1:8" ht="15">
      <c r="A146" s="81">
        <v>21870</v>
      </c>
      <c r="B146" s="81">
        <v>2</v>
      </c>
      <c r="C146" s="81">
        <v>2</v>
      </c>
      <c r="D146" s="81">
        <f t="shared" si="2"/>
        <v>2128.8850000000002</v>
      </c>
      <c r="G146" s="87">
        <v>21855</v>
      </c>
      <c r="H146" s="87">
        <v>3065.65</v>
      </c>
    </row>
    <row r="147" spans="1:8" ht="15">
      <c r="A147" s="81">
        <v>21893</v>
      </c>
      <c r="B147" s="81">
        <v>2.25</v>
      </c>
      <c r="C147" s="81">
        <v>2</v>
      </c>
      <c r="D147" s="81">
        <f t="shared" si="2"/>
        <v>2914.5650000000001</v>
      </c>
      <c r="G147" s="87">
        <v>21870</v>
      </c>
      <c r="H147" s="87">
        <v>2128.8850000000002</v>
      </c>
    </row>
    <row r="148" spans="1:8" ht="15">
      <c r="A148" s="81">
        <v>21913</v>
      </c>
      <c r="B148" s="81">
        <v>2.5</v>
      </c>
      <c r="C148" s="81">
        <v>2</v>
      </c>
      <c r="D148" s="81">
        <f t="shared" si="2"/>
        <v>3065.65</v>
      </c>
      <c r="G148" s="87">
        <v>21893</v>
      </c>
      <c r="H148" s="87">
        <v>2914.5650000000001</v>
      </c>
    </row>
    <row r="149" spans="1:8" ht="15">
      <c r="A149" s="81">
        <v>21942</v>
      </c>
      <c r="B149" s="81">
        <v>2</v>
      </c>
      <c r="C149" s="81">
        <v>2</v>
      </c>
      <c r="D149" s="81">
        <f t="shared" si="2"/>
        <v>868.42899999999997</v>
      </c>
      <c r="G149" s="87">
        <v>21913</v>
      </c>
      <c r="H149" s="87">
        <v>3065.65</v>
      </c>
    </row>
    <row r="150" spans="1:8" ht="15">
      <c r="A150" s="81">
        <v>21960</v>
      </c>
      <c r="B150" s="81">
        <v>2.5999999046325701</v>
      </c>
      <c r="C150" s="81">
        <v>2</v>
      </c>
      <c r="D150" s="81">
        <f t="shared" si="2"/>
        <v>2319.0770000000002</v>
      </c>
      <c r="G150" s="87">
        <v>21942</v>
      </c>
      <c r="H150" s="87">
        <v>868.42899999999997</v>
      </c>
    </row>
    <row r="151" spans="1:8" ht="15">
      <c r="A151" s="81">
        <v>21970</v>
      </c>
      <c r="B151" s="81">
        <v>1</v>
      </c>
      <c r="C151" s="81">
        <v>2</v>
      </c>
      <c r="D151" s="81">
        <f t="shared" si="2"/>
        <v>868.42899999999997</v>
      </c>
      <c r="G151" s="87">
        <v>21960</v>
      </c>
      <c r="H151" s="87">
        <v>2319.0770000000002</v>
      </c>
    </row>
    <row r="152" spans="1:8" ht="15">
      <c r="A152" s="81">
        <v>21971</v>
      </c>
      <c r="B152" s="81">
        <v>2.5</v>
      </c>
      <c r="C152" s="81">
        <v>1</v>
      </c>
      <c r="D152" s="81">
        <f t="shared" si="2"/>
        <v>1211.2819999999999</v>
      </c>
      <c r="G152" s="87">
        <v>21970</v>
      </c>
      <c r="H152" s="87">
        <v>868.42899999999997</v>
      </c>
    </row>
    <row r="153" spans="1:8" ht="15">
      <c r="A153" s="81">
        <v>21982</v>
      </c>
      <c r="B153" s="81">
        <v>2</v>
      </c>
      <c r="C153" s="81">
        <v>2</v>
      </c>
      <c r="D153" s="81">
        <f t="shared" si="2"/>
        <v>3065.65</v>
      </c>
      <c r="G153" s="87">
        <v>21971</v>
      </c>
      <c r="H153" s="87">
        <v>1211.2819999999999</v>
      </c>
    </row>
    <row r="154" spans="1:8" ht="15">
      <c r="A154" s="81">
        <v>21984</v>
      </c>
      <c r="B154" s="81">
        <v>5</v>
      </c>
      <c r="C154" s="81">
        <v>1</v>
      </c>
      <c r="D154" s="81">
        <f t="shared" si="2"/>
        <v>868.42899999999997</v>
      </c>
      <c r="G154" s="87">
        <v>21982</v>
      </c>
      <c r="H154" s="87">
        <v>3065.65</v>
      </c>
    </row>
    <row r="155" spans="1:8" ht="15">
      <c r="A155" s="81">
        <v>21997</v>
      </c>
      <c r="B155" s="81">
        <v>2</v>
      </c>
      <c r="C155" s="81">
        <v>2</v>
      </c>
      <c r="D155" s="81">
        <f t="shared" si="2"/>
        <v>2128.8850000000002</v>
      </c>
      <c r="G155" s="87">
        <v>21984</v>
      </c>
      <c r="H155" s="87">
        <v>868.42899999999997</v>
      </c>
    </row>
    <row r="156" spans="1:8" ht="15">
      <c r="A156" s="81">
        <v>22004</v>
      </c>
      <c r="B156" s="81">
        <v>2</v>
      </c>
      <c r="C156" s="81">
        <v>1</v>
      </c>
      <c r="D156" s="81">
        <f t="shared" si="2"/>
        <v>2128.8850000000002</v>
      </c>
      <c r="G156" s="87">
        <v>21997</v>
      </c>
      <c r="H156" s="87">
        <v>2128.8850000000002</v>
      </c>
    </row>
    <row r="157" spans="1:8" ht="15">
      <c r="A157" s="81">
        <v>22013</v>
      </c>
      <c r="B157" s="81">
        <v>2</v>
      </c>
      <c r="C157" s="81">
        <v>1</v>
      </c>
      <c r="D157" s="81">
        <f t="shared" si="2"/>
        <v>868.42899999999997</v>
      </c>
      <c r="G157" s="87">
        <v>22004</v>
      </c>
      <c r="H157" s="87">
        <v>2128.8850000000002</v>
      </c>
    </row>
    <row r="158" spans="1:8" ht="15">
      <c r="A158" s="81">
        <v>22017</v>
      </c>
      <c r="B158" s="81">
        <v>2.5</v>
      </c>
      <c r="C158" s="81">
        <v>2</v>
      </c>
      <c r="D158" s="81">
        <f t="shared" si="2"/>
        <v>1211.2819999999999</v>
      </c>
      <c r="G158" s="87">
        <v>22013</v>
      </c>
      <c r="H158" s="87">
        <v>868.42899999999997</v>
      </c>
    </row>
    <row r="159" spans="1:8" ht="15">
      <c r="A159" s="81">
        <v>22028</v>
      </c>
      <c r="B159" s="81">
        <v>3</v>
      </c>
      <c r="C159" s="81">
        <v>1</v>
      </c>
      <c r="D159" s="81">
        <f t="shared" si="2"/>
        <v>868.42899999999997</v>
      </c>
      <c r="G159" s="87">
        <v>22017</v>
      </c>
      <c r="H159" s="87">
        <v>1211.2819999999999</v>
      </c>
    </row>
    <row r="160" spans="1:8" ht="15">
      <c r="A160" s="81">
        <v>22048</v>
      </c>
      <c r="B160" s="81">
        <v>2.2000000476837198</v>
      </c>
      <c r="C160" s="81">
        <v>2</v>
      </c>
      <c r="D160" s="81">
        <f t="shared" si="2"/>
        <v>2319.0770000000002</v>
      </c>
      <c r="G160" s="87">
        <v>22028</v>
      </c>
      <c r="H160" s="87">
        <v>868.42899999999997</v>
      </c>
    </row>
    <row r="161" spans="1:8" ht="15">
      <c r="A161" s="81">
        <v>22056</v>
      </c>
      <c r="B161" s="81">
        <v>1</v>
      </c>
      <c r="C161" s="81">
        <v>1</v>
      </c>
      <c r="D161" s="81">
        <f t="shared" si="2"/>
        <v>1211.2819999999999</v>
      </c>
      <c r="G161" s="87">
        <v>22048</v>
      </c>
      <c r="H161" s="87">
        <v>2319.0770000000002</v>
      </c>
    </row>
    <row r="162" spans="1:8" ht="15">
      <c r="A162" s="81">
        <v>22067</v>
      </c>
      <c r="B162" s="81">
        <v>1.75</v>
      </c>
      <c r="C162" s="81">
        <v>1</v>
      </c>
      <c r="D162" s="81">
        <f t="shared" si="2"/>
        <v>868.42899999999997</v>
      </c>
      <c r="G162" s="87">
        <v>22056</v>
      </c>
      <c r="H162" s="87">
        <v>1211.2819999999999</v>
      </c>
    </row>
    <row r="163" spans="1:8" ht="15">
      <c r="A163" s="81">
        <v>22073</v>
      </c>
      <c r="B163" s="81">
        <v>2.25</v>
      </c>
      <c r="C163" s="81">
        <v>2</v>
      </c>
      <c r="D163" s="81">
        <f t="shared" si="2"/>
        <v>868.42899999999997</v>
      </c>
      <c r="G163" s="87">
        <v>22067</v>
      </c>
      <c r="H163" s="87">
        <v>868.42899999999997</v>
      </c>
    </row>
    <row r="164" spans="1:8" ht="15">
      <c r="A164" s="81">
        <v>22112</v>
      </c>
      <c r="B164" s="81">
        <v>3.4000000953674299</v>
      </c>
      <c r="C164" s="81">
        <v>2</v>
      </c>
      <c r="D164" s="81">
        <f t="shared" si="2"/>
        <v>2319.0770000000002</v>
      </c>
      <c r="G164" s="87">
        <v>22073</v>
      </c>
      <c r="H164" s="87">
        <v>868.42899999999997</v>
      </c>
    </row>
    <row r="165" spans="1:8" ht="15">
      <c r="A165" s="81">
        <v>22119</v>
      </c>
      <c r="B165" s="81">
        <v>1.75</v>
      </c>
      <c r="C165" s="81">
        <v>3</v>
      </c>
      <c r="D165" s="81">
        <f t="shared" si="2"/>
        <v>868.42899999999997</v>
      </c>
      <c r="G165" s="87">
        <v>22112</v>
      </c>
      <c r="H165" s="87">
        <v>2319.0770000000002</v>
      </c>
    </row>
    <row r="166" spans="1:8" ht="15">
      <c r="A166" s="81">
        <v>22190</v>
      </c>
      <c r="B166" s="81">
        <v>1.3999999761581401</v>
      </c>
      <c r="C166" s="81">
        <v>2</v>
      </c>
      <c r="D166" s="81">
        <f t="shared" si="2"/>
        <v>868.42899999999997</v>
      </c>
      <c r="G166" s="87">
        <v>22119</v>
      </c>
      <c r="H166" s="87">
        <v>868.42899999999997</v>
      </c>
    </row>
    <row r="167" spans="1:8" ht="15">
      <c r="A167" s="81">
        <v>22192</v>
      </c>
      <c r="C167" s="81">
        <v>2</v>
      </c>
      <c r="D167" s="81">
        <f t="shared" si="2"/>
        <v>2128.9459999999999</v>
      </c>
      <c r="G167" s="87">
        <v>22190</v>
      </c>
      <c r="H167" s="87">
        <v>868.42899999999997</v>
      </c>
    </row>
    <row r="168" spans="1:8" ht="15">
      <c r="A168" s="81">
        <v>22204</v>
      </c>
      <c r="B168" s="81">
        <v>2</v>
      </c>
      <c r="C168" s="81">
        <v>1</v>
      </c>
      <c r="D168" s="81">
        <f t="shared" si="2"/>
        <v>2319.0770000000002</v>
      </c>
      <c r="G168" s="87">
        <v>22192</v>
      </c>
      <c r="H168" s="87">
        <v>2128.9459999999999</v>
      </c>
    </row>
    <row r="169" spans="1:8" ht="15">
      <c r="A169" s="81">
        <v>22236</v>
      </c>
      <c r="B169" s="81">
        <v>2</v>
      </c>
      <c r="C169" s="81">
        <v>2</v>
      </c>
      <c r="D169" s="81">
        <f t="shared" si="2"/>
        <v>3065.65</v>
      </c>
      <c r="G169" s="87">
        <v>22204</v>
      </c>
      <c r="H169" s="87">
        <v>2319.0770000000002</v>
      </c>
    </row>
    <row r="170" spans="1:8" ht="15">
      <c r="A170" s="81">
        <v>22277</v>
      </c>
      <c r="B170" s="81">
        <v>0.80000001192092896</v>
      </c>
      <c r="C170" s="81">
        <v>1</v>
      </c>
      <c r="D170" s="81">
        <f t="shared" si="2"/>
        <v>2319.0770000000002</v>
      </c>
      <c r="G170" s="87">
        <v>22236</v>
      </c>
      <c r="H170" s="87">
        <v>3065.65</v>
      </c>
    </row>
    <row r="171" spans="1:8" ht="15">
      <c r="A171" s="81">
        <v>22313</v>
      </c>
      <c r="B171" s="81">
        <v>2</v>
      </c>
      <c r="C171" s="81">
        <v>2</v>
      </c>
      <c r="D171" s="81">
        <f t="shared" si="2"/>
        <v>1211.2819999999999</v>
      </c>
      <c r="G171" s="87">
        <v>22277</v>
      </c>
      <c r="H171" s="87">
        <v>2319.0770000000002</v>
      </c>
    </row>
    <row r="172" spans="1:8" ht="15">
      <c r="A172" s="81">
        <v>22320</v>
      </c>
      <c r="B172" s="81">
        <v>2</v>
      </c>
      <c r="C172" s="81">
        <v>1</v>
      </c>
      <c r="D172" s="81">
        <f t="shared" si="2"/>
        <v>2319.0770000000002</v>
      </c>
      <c r="G172" s="87">
        <v>22313</v>
      </c>
      <c r="H172" s="87">
        <v>1211.2819999999999</v>
      </c>
    </row>
    <row r="173" spans="1:8" ht="15">
      <c r="A173" s="81">
        <v>22342</v>
      </c>
      <c r="B173" s="81">
        <v>2</v>
      </c>
      <c r="C173" s="81">
        <v>1</v>
      </c>
      <c r="D173" s="81">
        <f t="shared" si="2"/>
        <v>2319.0770000000002</v>
      </c>
      <c r="G173" s="87">
        <v>22320</v>
      </c>
      <c r="H173" s="87">
        <v>2319.0770000000002</v>
      </c>
    </row>
    <row r="174" spans="1:8" ht="15">
      <c r="A174" s="81">
        <v>22358</v>
      </c>
      <c r="B174" s="81">
        <v>2.5</v>
      </c>
      <c r="C174" s="81">
        <v>2</v>
      </c>
      <c r="D174" s="81">
        <f t="shared" si="2"/>
        <v>1211.2819999999999</v>
      </c>
      <c r="G174" s="87">
        <v>22342</v>
      </c>
      <c r="H174" s="87">
        <v>2319.0770000000002</v>
      </c>
    </row>
    <row r="175" spans="1:8" ht="15">
      <c r="A175" s="81">
        <v>22370</v>
      </c>
      <c r="B175" s="81">
        <v>2</v>
      </c>
      <c r="C175" s="81">
        <v>3</v>
      </c>
      <c r="D175" s="81">
        <f t="shared" si="2"/>
        <v>2319.0770000000002</v>
      </c>
      <c r="G175" s="87">
        <v>22358</v>
      </c>
      <c r="H175" s="87">
        <v>1211.2819999999999</v>
      </c>
    </row>
    <row r="176" spans="1:8" ht="15">
      <c r="A176" s="81">
        <v>22397</v>
      </c>
      <c r="B176" s="81">
        <v>2.25</v>
      </c>
      <c r="C176" s="81">
        <v>1</v>
      </c>
      <c r="D176" s="81">
        <f t="shared" si="2"/>
        <v>2914.5650000000001</v>
      </c>
      <c r="G176" s="87">
        <v>22370</v>
      </c>
      <c r="H176" s="87">
        <v>2319.0770000000002</v>
      </c>
    </row>
    <row r="177" spans="1:8" ht="15">
      <c r="A177" s="81">
        <v>22403</v>
      </c>
      <c r="B177" s="81">
        <v>2</v>
      </c>
      <c r="C177" s="81">
        <v>2</v>
      </c>
      <c r="D177" s="81">
        <f t="shared" si="2"/>
        <v>2128.9459999999999</v>
      </c>
      <c r="G177" s="87">
        <v>22397</v>
      </c>
      <c r="H177" s="87">
        <v>2914.5650000000001</v>
      </c>
    </row>
    <row r="178" spans="1:8" ht="15">
      <c r="A178" s="81">
        <v>22412</v>
      </c>
      <c r="B178" s="81">
        <v>2.25</v>
      </c>
      <c r="C178" s="81">
        <v>2</v>
      </c>
      <c r="D178" s="81">
        <f t="shared" si="2"/>
        <v>3065.65</v>
      </c>
      <c r="G178" s="87">
        <v>22403</v>
      </c>
      <c r="H178" s="87">
        <v>2128.9459999999999</v>
      </c>
    </row>
    <row r="179" spans="1:8" ht="15">
      <c r="A179" s="81">
        <v>22418</v>
      </c>
      <c r="B179" s="81">
        <v>2</v>
      </c>
      <c r="C179" s="81">
        <v>1</v>
      </c>
      <c r="D179" s="81">
        <f t="shared" si="2"/>
        <v>868.42899999999997</v>
      </c>
      <c r="G179" s="87">
        <v>22412</v>
      </c>
      <c r="H179" s="87">
        <v>3065.65</v>
      </c>
    </row>
    <row r="180" spans="1:8" ht="15">
      <c r="A180" s="81">
        <v>22419</v>
      </c>
      <c r="B180" s="81">
        <v>2.25</v>
      </c>
      <c r="C180" s="81">
        <v>2</v>
      </c>
      <c r="D180" s="81">
        <f t="shared" si="2"/>
        <v>2914.5650000000001</v>
      </c>
      <c r="G180" s="87">
        <v>22418</v>
      </c>
      <c r="H180" s="87">
        <v>868.42899999999997</v>
      </c>
    </row>
    <row r="181" spans="1:8" ht="15">
      <c r="A181" s="81">
        <v>22463</v>
      </c>
      <c r="B181" s="81">
        <v>2.5</v>
      </c>
      <c r="C181" s="81">
        <v>2</v>
      </c>
      <c r="D181" s="81">
        <f t="shared" si="2"/>
        <v>1211.2819999999999</v>
      </c>
      <c r="G181" s="87">
        <v>22419</v>
      </c>
      <c r="H181" s="87">
        <v>2914.5650000000001</v>
      </c>
    </row>
    <row r="182" spans="1:8" ht="15">
      <c r="A182" s="81">
        <v>22464</v>
      </c>
      <c r="B182" s="81">
        <v>2</v>
      </c>
      <c r="C182" s="81">
        <v>2</v>
      </c>
      <c r="D182" s="81">
        <f t="shared" si="2"/>
        <v>1211.2819999999999</v>
      </c>
      <c r="G182" s="87">
        <v>22463</v>
      </c>
      <c r="H182" s="87">
        <v>1211.2819999999999</v>
      </c>
    </row>
    <row r="183" spans="1:8" ht="15">
      <c r="A183" s="81">
        <v>22465</v>
      </c>
      <c r="B183" s="81">
        <v>1.75</v>
      </c>
      <c r="C183" s="81">
        <v>2</v>
      </c>
      <c r="D183" s="81">
        <f t="shared" si="2"/>
        <v>3065.65</v>
      </c>
      <c r="G183" s="87">
        <v>22464</v>
      </c>
      <c r="H183" s="87">
        <v>1211.2819999999999</v>
      </c>
    </row>
    <row r="184" spans="1:8" ht="15">
      <c r="A184" s="81">
        <v>22468</v>
      </c>
      <c r="B184" s="81">
        <v>2.5</v>
      </c>
      <c r="C184" s="81">
        <v>1</v>
      </c>
      <c r="D184" s="81">
        <f t="shared" si="2"/>
        <v>1211.2819999999999</v>
      </c>
      <c r="G184" s="87">
        <v>22465</v>
      </c>
      <c r="H184" s="87">
        <v>3065.65</v>
      </c>
    </row>
    <row r="185" spans="1:8" ht="15">
      <c r="A185" s="81">
        <v>22472</v>
      </c>
      <c r="B185" s="81">
        <v>1.5</v>
      </c>
      <c r="C185" s="81">
        <v>2</v>
      </c>
      <c r="D185" s="81">
        <f t="shared" si="2"/>
        <v>868.42899999999997</v>
      </c>
      <c r="G185" s="87">
        <v>22468</v>
      </c>
      <c r="H185" s="87">
        <v>1211.2819999999999</v>
      </c>
    </row>
    <row r="186" spans="1:8" ht="15">
      <c r="A186" s="81">
        <v>22484</v>
      </c>
      <c r="B186" s="81">
        <v>2.5</v>
      </c>
      <c r="C186" s="81">
        <v>2</v>
      </c>
      <c r="D186" s="81">
        <f t="shared" si="2"/>
        <v>1211.2819999999999</v>
      </c>
      <c r="G186" s="87">
        <v>22472</v>
      </c>
      <c r="H186" s="87">
        <v>868.42899999999997</v>
      </c>
    </row>
    <row r="187" spans="1:8" ht="15">
      <c r="A187" s="81">
        <v>22508</v>
      </c>
      <c r="B187" s="81">
        <v>3</v>
      </c>
      <c r="C187" s="81">
        <v>2</v>
      </c>
      <c r="D187" s="81">
        <f t="shared" si="2"/>
        <v>2128.8850000000002</v>
      </c>
      <c r="G187" s="87">
        <v>22484</v>
      </c>
      <c r="H187" s="87">
        <v>1211.2819999999999</v>
      </c>
    </row>
    <row r="188" spans="1:8" ht="15">
      <c r="A188" s="81">
        <v>22511</v>
      </c>
      <c r="B188" s="81">
        <v>1</v>
      </c>
      <c r="C188" s="81">
        <v>1</v>
      </c>
      <c r="D188" s="81">
        <f t="shared" si="2"/>
        <v>2319.0770000000002</v>
      </c>
      <c r="G188" s="87">
        <v>22508</v>
      </c>
      <c r="H188" s="87">
        <v>2128.8850000000002</v>
      </c>
    </row>
    <row r="189" spans="1:8" ht="15">
      <c r="A189" s="81">
        <v>22552</v>
      </c>
      <c r="B189" s="81">
        <v>2</v>
      </c>
      <c r="C189" s="81">
        <v>2</v>
      </c>
      <c r="D189" s="81">
        <f t="shared" si="2"/>
        <v>868.42899999999997</v>
      </c>
      <c r="G189" s="87">
        <v>22511</v>
      </c>
      <c r="H189" s="87">
        <v>2319.0770000000002</v>
      </c>
    </row>
    <row r="190" spans="1:8" ht="15">
      <c r="A190" s="81">
        <v>22565</v>
      </c>
      <c r="B190" s="81">
        <v>2</v>
      </c>
      <c r="C190" s="81">
        <v>2</v>
      </c>
      <c r="D190" s="81">
        <f t="shared" si="2"/>
        <v>868.42899999999997</v>
      </c>
      <c r="G190" s="87">
        <v>22552</v>
      </c>
      <c r="H190" s="87">
        <v>868.42899999999997</v>
      </c>
    </row>
    <row r="191" spans="1:8" ht="15">
      <c r="A191" s="81">
        <v>22605</v>
      </c>
      <c r="B191" s="81">
        <v>5</v>
      </c>
      <c r="C191" s="81">
        <v>1</v>
      </c>
      <c r="D191" s="81">
        <f t="shared" si="2"/>
        <v>2319.0770000000002</v>
      </c>
      <c r="G191" s="87">
        <v>22565</v>
      </c>
      <c r="H191" s="87">
        <v>868.42899999999997</v>
      </c>
    </row>
    <row r="192" spans="1:8" ht="15">
      <c r="A192" s="81">
        <v>22630</v>
      </c>
      <c r="B192" s="81">
        <v>1</v>
      </c>
      <c r="C192" s="81">
        <v>2</v>
      </c>
      <c r="D192" s="81">
        <f t="shared" si="2"/>
        <v>868.42899999999997</v>
      </c>
      <c r="G192" s="87">
        <v>22605</v>
      </c>
      <c r="H192" s="87">
        <v>2319.0770000000002</v>
      </c>
    </row>
    <row r="193" spans="1:8" ht="15">
      <c r="A193" s="81">
        <v>22639</v>
      </c>
      <c r="B193" s="81">
        <v>2.5</v>
      </c>
      <c r="C193" s="81">
        <v>2</v>
      </c>
      <c r="D193" s="81">
        <f t="shared" si="2"/>
        <v>3065.65</v>
      </c>
      <c r="G193" s="87">
        <v>22630</v>
      </c>
      <c r="H193" s="87">
        <v>868.42899999999997</v>
      </c>
    </row>
    <row r="194" spans="1:8" ht="15">
      <c r="A194" s="81">
        <v>22643</v>
      </c>
      <c r="B194" s="81">
        <v>2</v>
      </c>
      <c r="C194" s="81">
        <v>2</v>
      </c>
      <c r="D194" s="81">
        <f t="shared" si="2"/>
        <v>1211.2819999999999</v>
      </c>
      <c r="G194" s="87">
        <v>22639</v>
      </c>
      <c r="H194" s="87">
        <v>3065.65</v>
      </c>
    </row>
    <row r="195" spans="1:8" ht="15">
      <c r="A195" s="81">
        <v>22647</v>
      </c>
      <c r="B195" s="81">
        <v>2.5</v>
      </c>
      <c r="C195" s="81">
        <v>2</v>
      </c>
      <c r="D195" s="81">
        <f t="shared" ref="D195:D258" si="3">VLOOKUP(A195,$G$2:$H$322,2,FALSE)</f>
        <v>1211.2819999999999</v>
      </c>
      <c r="G195" s="87">
        <v>22643</v>
      </c>
      <c r="H195" s="87">
        <v>1211.2819999999999</v>
      </c>
    </row>
    <row r="196" spans="1:8" ht="15">
      <c r="A196" s="81">
        <v>22657</v>
      </c>
      <c r="B196" s="81">
        <v>2</v>
      </c>
      <c r="C196" s="81">
        <v>2</v>
      </c>
      <c r="D196" s="81">
        <f t="shared" si="3"/>
        <v>1211.2819999999999</v>
      </c>
      <c r="G196" s="87">
        <v>22647</v>
      </c>
      <c r="H196" s="87">
        <v>1211.2819999999999</v>
      </c>
    </row>
    <row r="197" spans="1:8" ht="15">
      <c r="A197" s="81">
        <v>22674</v>
      </c>
      <c r="B197" s="81">
        <v>2</v>
      </c>
      <c r="C197" s="81">
        <v>1</v>
      </c>
      <c r="D197" s="81">
        <f t="shared" si="3"/>
        <v>2914.5650000000001</v>
      </c>
      <c r="G197" s="87">
        <v>22657</v>
      </c>
      <c r="H197" s="87">
        <v>1211.2819999999999</v>
      </c>
    </row>
    <row r="198" spans="1:8" ht="15">
      <c r="A198" s="81">
        <v>22682</v>
      </c>
      <c r="B198" s="81">
        <v>1.5</v>
      </c>
      <c r="C198" s="81">
        <v>1</v>
      </c>
      <c r="D198" s="81">
        <f t="shared" si="3"/>
        <v>2319.0770000000002</v>
      </c>
      <c r="G198" s="87">
        <v>22674</v>
      </c>
      <c r="H198" s="87">
        <v>2914.5650000000001</v>
      </c>
    </row>
    <row r="199" spans="1:8" ht="15">
      <c r="A199" s="81">
        <v>22690</v>
      </c>
      <c r="B199" s="81">
        <v>2.75</v>
      </c>
      <c r="C199" s="81">
        <v>2</v>
      </c>
      <c r="D199" s="81">
        <f t="shared" si="3"/>
        <v>2914.5650000000001</v>
      </c>
      <c r="G199" s="87">
        <v>22682</v>
      </c>
      <c r="H199" s="87">
        <v>2319.0770000000002</v>
      </c>
    </row>
    <row r="200" spans="1:8" ht="15">
      <c r="A200" s="81">
        <v>22707</v>
      </c>
      <c r="B200" s="81">
        <v>4</v>
      </c>
      <c r="C200" s="81">
        <v>2</v>
      </c>
      <c r="D200" s="81">
        <f t="shared" si="3"/>
        <v>2319.0770000000002</v>
      </c>
      <c r="G200" s="87">
        <v>22690</v>
      </c>
      <c r="H200" s="87">
        <v>2914.5650000000001</v>
      </c>
    </row>
    <row r="201" spans="1:8" ht="15">
      <c r="A201" s="81">
        <v>22713</v>
      </c>
      <c r="B201" s="81">
        <v>1.75</v>
      </c>
      <c r="C201" s="81">
        <v>2</v>
      </c>
      <c r="D201" s="81">
        <f t="shared" si="3"/>
        <v>1211.2819999999999</v>
      </c>
      <c r="G201" s="87">
        <v>22707</v>
      </c>
      <c r="H201" s="87">
        <v>2319.0770000000002</v>
      </c>
    </row>
    <row r="202" spans="1:8" ht="15">
      <c r="A202" s="81">
        <v>22716</v>
      </c>
      <c r="B202" s="81">
        <v>2.25</v>
      </c>
      <c r="C202" s="81">
        <v>1</v>
      </c>
      <c r="D202" s="81">
        <f t="shared" si="3"/>
        <v>868.42899999999997</v>
      </c>
      <c r="G202" s="87">
        <v>22713</v>
      </c>
      <c r="H202" s="87">
        <v>1211.2819999999999</v>
      </c>
    </row>
    <row r="203" spans="1:8" ht="15">
      <c r="A203" s="81">
        <v>22730</v>
      </c>
      <c r="B203" s="81">
        <v>2</v>
      </c>
      <c r="C203" s="81">
        <v>1</v>
      </c>
      <c r="D203" s="81">
        <f t="shared" si="3"/>
        <v>868.42899999999997</v>
      </c>
      <c r="G203" s="87">
        <v>22716</v>
      </c>
      <c r="H203" s="87">
        <v>868.42899999999997</v>
      </c>
    </row>
    <row r="204" spans="1:8" ht="15">
      <c r="A204" s="81">
        <v>22732</v>
      </c>
      <c r="B204" s="81">
        <v>2.5</v>
      </c>
      <c r="C204" s="81">
        <v>2</v>
      </c>
      <c r="D204" s="81">
        <f t="shared" si="3"/>
        <v>3065.65</v>
      </c>
      <c r="G204" s="87">
        <v>22730</v>
      </c>
      <c r="H204" s="87">
        <v>868.42899999999997</v>
      </c>
    </row>
    <row r="205" spans="1:8" ht="15">
      <c r="A205" s="81">
        <v>22736</v>
      </c>
      <c r="B205" s="81">
        <v>2.5</v>
      </c>
      <c r="C205" s="81">
        <v>2</v>
      </c>
      <c r="D205" s="81">
        <f t="shared" si="3"/>
        <v>1211.2819999999999</v>
      </c>
      <c r="G205" s="87">
        <v>22732</v>
      </c>
      <c r="H205" s="87">
        <v>3065.65</v>
      </c>
    </row>
    <row r="206" spans="1:8" ht="15">
      <c r="A206" s="81">
        <v>22772</v>
      </c>
      <c r="B206" s="81">
        <v>2</v>
      </c>
      <c r="C206" s="81">
        <v>1</v>
      </c>
      <c r="D206" s="81">
        <f t="shared" si="3"/>
        <v>1211.2819999999999</v>
      </c>
      <c r="G206" s="87">
        <v>22736</v>
      </c>
      <c r="H206" s="87">
        <v>1211.2819999999999</v>
      </c>
    </row>
    <row r="207" spans="1:8" ht="15">
      <c r="A207" s="81">
        <v>22773</v>
      </c>
      <c r="B207" s="81">
        <v>3.5999999046325701</v>
      </c>
      <c r="C207" s="81">
        <v>1</v>
      </c>
      <c r="D207" s="81">
        <f t="shared" si="3"/>
        <v>2319.0770000000002</v>
      </c>
      <c r="G207" s="87">
        <v>22772</v>
      </c>
      <c r="H207" s="87">
        <v>1211.2819999999999</v>
      </c>
    </row>
    <row r="208" spans="1:8" ht="15">
      <c r="A208" s="81">
        <v>22775</v>
      </c>
      <c r="B208" s="81">
        <v>5</v>
      </c>
      <c r="C208" s="81">
        <v>2</v>
      </c>
      <c r="D208" s="81">
        <f t="shared" si="3"/>
        <v>2128.9459999999999</v>
      </c>
      <c r="G208" s="87">
        <v>22773</v>
      </c>
      <c r="H208" s="87">
        <v>2319.0770000000002</v>
      </c>
    </row>
    <row r="209" spans="1:8" ht="15">
      <c r="A209" s="81">
        <v>22811</v>
      </c>
      <c r="B209" s="81">
        <v>3</v>
      </c>
      <c r="C209" s="81">
        <v>1</v>
      </c>
      <c r="D209" s="81">
        <f t="shared" si="3"/>
        <v>2128.9459999999999</v>
      </c>
      <c r="G209" s="87">
        <v>22775</v>
      </c>
      <c r="H209" s="87">
        <v>2128.9459999999999</v>
      </c>
    </row>
    <row r="210" spans="1:8" ht="15">
      <c r="A210" s="81">
        <v>22824</v>
      </c>
      <c r="B210" s="81">
        <v>2.5</v>
      </c>
      <c r="C210" s="81">
        <v>1</v>
      </c>
      <c r="D210" s="81">
        <f t="shared" si="3"/>
        <v>2128.9459999999999</v>
      </c>
      <c r="G210" s="87">
        <v>22811</v>
      </c>
      <c r="H210" s="87">
        <v>2128.9459999999999</v>
      </c>
    </row>
    <row r="211" spans="1:8" ht="15">
      <c r="A211" s="81">
        <v>22827</v>
      </c>
      <c r="B211" s="81">
        <v>3</v>
      </c>
      <c r="C211" s="81">
        <v>1</v>
      </c>
      <c r="D211" s="81">
        <f t="shared" si="3"/>
        <v>1211.2819999999999</v>
      </c>
      <c r="G211" s="87">
        <v>22821</v>
      </c>
      <c r="H211" s="87">
        <v>2914.5650000000001</v>
      </c>
    </row>
    <row r="212" spans="1:8" ht="15">
      <c r="A212" s="81">
        <v>22859</v>
      </c>
      <c r="B212" s="81">
        <v>3.2000000476837198</v>
      </c>
      <c r="C212" s="81">
        <v>2</v>
      </c>
      <c r="D212" s="81">
        <f t="shared" si="3"/>
        <v>2319.0770000000002</v>
      </c>
      <c r="G212" s="87">
        <v>22824</v>
      </c>
      <c r="H212" s="87">
        <v>2128.9459999999999</v>
      </c>
    </row>
    <row r="213" spans="1:8" ht="15">
      <c r="A213" s="81">
        <v>22862</v>
      </c>
      <c r="B213" s="81">
        <v>4</v>
      </c>
      <c r="C213" s="81">
        <v>2</v>
      </c>
      <c r="D213" s="81">
        <f t="shared" si="3"/>
        <v>2319.0770000000002</v>
      </c>
      <c r="G213" s="87">
        <v>22827</v>
      </c>
      <c r="H213" s="87">
        <v>1211.2819999999999</v>
      </c>
    </row>
    <row r="214" spans="1:8" ht="15">
      <c r="A214" s="81">
        <v>22865</v>
      </c>
      <c r="B214" s="81">
        <v>2</v>
      </c>
      <c r="C214" s="81">
        <v>2</v>
      </c>
      <c r="D214" s="81">
        <f t="shared" si="3"/>
        <v>2128.8850000000002</v>
      </c>
      <c r="G214" s="87">
        <v>22859</v>
      </c>
      <c r="H214" s="87">
        <v>2319.0770000000002</v>
      </c>
    </row>
    <row r="215" spans="1:8" ht="15">
      <c r="A215" s="81">
        <v>22882</v>
      </c>
      <c r="B215" s="81">
        <v>4</v>
      </c>
      <c r="C215" s="81">
        <v>1</v>
      </c>
      <c r="D215" s="81">
        <f t="shared" si="3"/>
        <v>2319.0770000000002</v>
      </c>
      <c r="G215" s="87">
        <v>22862</v>
      </c>
      <c r="H215" s="87">
        <v>2319.0770000000002</v>
      </c>
    </row>
    <row r="216" spans="1:8" ht="15">
      <c r="A216" s="81">
        <v>22910</v>
      </c>
      <c r="B216" s="81">
        <v>2.5</v>
      </c>
      <c r="C216" s="81">
        <v>3</v>
      </c>
      <c r="D216" s="81">
        <f t="shared" si="3"/>
        <v>2319.0770000000002</v>
      </c>
      <c r="G216" s="87">
        <v>22865</v>
      </c>
      <c r="H216" s="87">
        <v>2128.8850000000002</v>
      </c>
    </row>
    <row r="217" spans="1:8" ht="15">
      <c r="A217" s="81">
        <v>22913</v>
      </c>
      <c r="B217" s="81">
        <v>2</v>
      </c>
      <c r="C217" s="81">
        <v>1</v>
      </c>
      <c r="D217" s="81">
        <f t="shared" si="3"/>
        <v>2128.8850000000002</v>
      </c>
      <c r="G217" s="87">
        <v>22882</v>
      </c>
      <c r="H217" s="87">
        <v>2319.0770000000002</v>
      </c>
    </row>
    <row r="218" spans="1:8" ht="15">
      <c r="A218" s="81">
        <v>22916</v>
      </c>
      <c r="B218" s="81">
        <v>2.5</v>
      </c>
      <c r="C218" s="81">
        <v>2</v>
      </c>
      <c r="D218" s="81">
        <f t="shared" si="3"/>
        <v>1211.2819999999999</v>
      </c>
      <c r="G218" s="87">
        <v>22910</v>
      </c>
      <c r="H218" s="87">
        <v>2319.0770000000002</v>
      </c>
    </row>
    <row r="219" spans="1:8" ht="15">
      <c r="A219" s="81">
        <v>22927</v>
      </c>
      <c r="B219" s="81">
        <v>1.79999995231628</v>
      </c>
      <c r="C219" s="81">
        <v>1</v>
      </c>
      <c r="D219" s="81">
        <f t="shared" si="3"/>
        <v>868.42899999999997</v>
      </c>
      <c r="G219" s="87">
        <v>22913</v>
      </c>
      <c r="H219" s="87">
        <v>2128.8850000000002</v>
      </c>
    </row>
    <row r="220" spans="1:8" ht="15">
      <c r="A220" s="81">
        <v>22928</v>
      </c>
      <c r="B220" s="81">
        <v>2.25</v>
      </c>
      <c r="C220" s="81">
        <v>2</v>
      </c>
      <c r="D220" s="81">
        <f t="shared" si="3"/>
        <v>2914.5650000000001</v>
      </c>
      <c r="G220" s="87">
        <v>22916</v>
      </c>
      <c r="H220" s="87">
        <v>1211.2819999999999</v>
      </c>
    </row>
    <row r="221" spans="1:8" ht="15">
      <c r="A221" s="81">
        <v>22933</v>
      </c>
      <c r="B221" s="81">
        <v>1.8500000238418599</v>
      </c>
      <c r="C221" s="81">
        <v>2</v>
      </c>
      <c r="D221" s="81">
        <f t="shared" si="3"/>
        <v>2128.8850000000002</v>
      </c>
      <c r="G221" s="87">
        <v>22927</v>
      </c>
      <c r="H221" s="87">
        <v>868.42899999999997</v>
      </c>
    </row>
    <row r="222" spans="1:8" ht="15">
      <c r="A222" s="81">
        <v>22942</v>
      </c>
      <c r="B222" s="81">
        <v>2</v>
      </c>
      <c r="C222" s="81">
        <v>1</v>
      </c>
      <c r="D222" s="81">
        <f t="shared" si="3"/>
        <v>868.42899999999997</v>
      </c>
      <c r="G222" s="87">
        <v>22928</v>
      </c>
      <c r="H222" s="87">
        <v>2914.5650000000001</v>
      </c>
    </row>
    <row r="223" spans="1:8" ht="15">
      <c r="A223" s="81">
        <v>22983</v>
      </c>
      <c r="B223" s="81">
        <v>2.25</v>
      </c>
      <c r="C223" s="81">
        <v>1</v>
      </c>
      <c r="D223" s="81">
        <f t="shared" si="3"/>
        <v>1211.2819999999999</v>
      </c>
      <c r="G223" s="87">
        <v>22933</v>
      </c>
      <c r="H223" s="87">
        <v>2128.8850000000002</v>
      </c>
    </row>
    <row r="224" spans="1:8" ht="15">
      <c r="A224" s="81">
        <v>23004</v>
      </c>
      <c r="B224" s="81">
        <v>2</v>
      </c>
      <c r="C224" s="81">
        <v>1</v>
      </c>
      <c r="D224" s="81">
        <f t="shared" si="3"/>
        <v>2128.8850000000002</v>
      </c>
      <c r="G224" s="87">
        <v>22942</v>
      </c>
      <c r="H224" s="87">
        <v>868.42899999999997</v>
      </c>
    </row>
    <row r="225" spans="1:8" ht="15">
      <c r="A225" s="81">
        <v>23025</v>
      </c>
      <c r="B225" s="81">
        <v>2</v>
      </c>
      <c r="C225" s="81">
        <v>2</v>
      </c>
      <c r="D225" s="81">
        <f t="shared" si="3"/>
        <v>1211.2819999999999</v>
      </c>
      <c r="G225" s="87">
        <v>22983</v>
      </c>
      <c r="H225" s="87">
        <v>1211.2819999999999</v>
      </c>
    </row>
    <row r="226" spans="1:8" ht="15">
      <c r="A226" s="81">
        <v>23035</v>
      </c>
      <c r="B226" s="81">
        <v>2.25</v>
      </c>
      <c r="C226" s="81">
        <v>2</v>
      </c>
      <c r="D226" s="81">
        <f t="shared" si="3"/>
        <v>2914.5650000000001</v>
      </c>
      <c r="G226" s="87">
        <v>23004</v>
      </c>
      <c r="H226" s="87">
        <v>2128.8850000000002</v>
      </c>
    </row>
    <row r="227" spans="1:8" ht="15">
      <c r="A227" s="81">
        <v>23061</v>
      </c>
      <c r="B227" s="81">
        <v>3</v>
      </c>
      <c r="C227" s="81">
        <v>2</v>
      </c>
      <c r="D227" s="81">
        <f t="shared" si="3"/>
        <v>2128.9459999999999</v>
      </c>
      <c r="G227" s="87">
        <v>23025</v>
      </c>
      <c r="H227" s="87">
        <v>1211.2819999999999</v>
      </c>
    </row>
    <row r="228" spans="1:8" ht="15">
      <c r="A228" s="81">
        <v>23063</v>
      </c>
      <c r="B228" s="81">
        <v>2.5</v>
      </c>
      <c r="C228" s="81">
        <v>1</v>
      </c>
      <c r="D228" s="81">
        <f t="shared" si="3"/>
        <v>2914.5650000000001</v>
      </c>
      <c r="G228" s="87">
        <v>23035</v>
      </c>
      <c r="H228" s="87">
        <v>2914.5650000000001</v>
      </c>
    </row>
    <row r="229" spans="1:8" ht="15">
      <c r="A229" s="81">
        <v>23069</v>
      </c>
      <c r="B229" s="81">
        <v>2</v>
      </c>
      <c r="C229" s="81">
        <v>1</v>
      </c>
      <c r="D229" s="81">
        <f t="shared" si="3"/>
        <v>2914.5650000000001</v>
      </c>
      <c r="G229" s="87">
        <v>23061</v>
      </c>
      <c r="H229" s="87">
        <v>2128.9459999999999</v>
      </c>
    </row>
    <row r="230" spans="1:8" ht="15">
      <c r="A230" s="81">
        <v>23072</v>
      </c>
      <c r="B230" s="81">
        <v>2.5</v>
      </c>
      <c r="C230" s="81">
        <v>2</v>
      </c>
      <c r="D230" s="81">
        <f t="shared" si="3"/>
        <v>1211.2819999999999</v>
      </c>
      <c r="G230" s="87">
        <v>23063</v>
      </c>
      <c r="H230" s="87">
        <v>2914.5650000000001</v>
      </c>
    </row>
    <row r="231" spans="1:8" ht="15">
      <c r="A231" s="81">
        <v>23167</v>
      </c>
      <c r="B231" s="81">
        <v>1.79999995231628</v>
      </c>
      <c r="C231" s="81">
        <v>1</v>
      </c>
      <c r="D231" s="81">
        <f t="shared" si="3"/>
        <v>868.42899999999997</v>
      </c>
      <c r="G231" s="87">
        <v>23069</v>
      </c>
      <c r="H231" s="87">
        <v>2914.5650000000001</v>
      </c>
    </row>
    <row r="232" spans="1:8" ht="15">
      <c r="A232" s="81">
        <v>23169</v>
      </c>
      <c r="B232" s="81">
        <v>1</v>
      </c>
      <c r="C232" s="81">
        <v>1</v>
      </c>
      <c r="D232" s="81">
        <f t="shared" si="3"/>
        <v>1211.2819999999999</v>
      </c>
      <c r="G232" s="87">
        <v>23072</v>
      </c>
      <c r="H232" s="87">
        <v>1211.2819999999999</v>
      </c>
    </row>
    <row r="233" spans="1:8" ht="15">
      <c r="A233" s="81">
        <v>23182</v>
      </c>
      <c r="B233" s="81">
        <v>2</v>
      </c>
      <c r="C233" s="81">
        <v>1</v>
      </c>
      <c r="D233" s="81">
        <f t="shared" si="3"/>
        <v>3065.65</v>
      </c>
      <c r="G233" s="87">
        <v>23167</v>
      </c>
      <c r="H233" s="87">
        <v>868.42899999999997</v>
      </c>
    </row>
    <row r="234" spans="1:8" ht="15">
      <c r="A234" s="81">
        <v>23198</v>
      </c>
      <c r="B234" s="81">
        <v>2.25</v>
      </c>
      <c r="C234" s="81">
        <v>1</v>
      </c>
      <c r="D234" s="81">
        <f t="shared" si="3"/>
        <v>868.42899999999997</v>
      </c>
      <c r="G234" s="87">
        <v>23169</v>
      </c>
      <c r="H234" s="87">
        <v>1211.2819999999999</v>
      </c>
    </row>
    <row r="235" spans="1:8" ht="15">
      <c r="A235" s="81">
        <v>23201</v>
      </c>
      <c r="B235" s="81">
        <v>1.75</v>
      </c>
      <c r="C235" s="81">
        <v>2</v>
      </c>
      <c r="D235" s="81">
        <f t="shared" si="3"/>
        <v>3065.65</v>
      </c>
      <c r="G235" s="87">
        <v>23182</v>
      </c>
      <c r="H235" s="87">
        <v>3065.65</v>
      </c>
    </row>
    <row r="236" spans="1:8" ht="15">
      <c r="A236" s="81">
        <v>23210</v>
      </c>
      <c r="B236" s="81">
        <v>2</v>
      </c>
      <c r="C236" s="81">
        <v>2</v>
      </c>
      <c r="D236" s="81">
        <f t="shared" si="3"/>
        <v>2319.0770000000002</v>
      </c>
      <c r="G236" s="87">
        <v>23198</v>
      </c>
      <c r="H236" s="87">
        <v>868.42899999999997</v>
      </c>
    </row>
    <row r="237" spans="1:8" ht="15">
      <c r="A237" s="81">
        <v>23215</v>
      </c>
      <c r="B237" s="81">
        <v>2</v>
      </c>
      <c r="C237" s="81">
        <v>2</v>
      </c>
      <c r="D237" s="81">
        <f t="shared" si="3"/>
        <v>2319.0770000000002</v>
      </c>
      <c r="G237" s="87">
        <v>23201</v>
      </c>
      <c r="H237" s="87">
        <v>3065.65</v>
      </c>
    </row>
    <row r="238" spans="1:8" ht="15">
      <c r="A238" s="81">
        <v>23255</v>
      </c>
      <c r="B238" s="81">
        <v>2</v>
      </c>
      <c r="C238" s="81">
        <v>2</v>
      </c>
      <c r="D238" s="81">
        <f t="shared" si="3"/>
        <v>2914.5650000000001</v>
      </c>
      <c r="G238" s="87">
        <v>23210</v>
      </c>
      <c r="H238" s="87">
        <v>2319.0770000000002</v>
      </c>
    </row>
    <row r="239" spans="1:8" ht="15">
      <c r="A239" s="81">
        <v>23325</v>
      </c>
      <c r="B239" s="81">
        <v>2</v>
      </c>
      <c r="C239" s="81">
        <v>1</v>
      </c>
      <c r="D239" s="81">
        <f t="shared" si="3"/>
        <v>2128.9459999999999</v>
      </c>
      <c r="G239" s="87">
        <v>23215</v>
      </c>
      <c r="H239" s="87">
        <v>2319.0770000000002</v>
      </c>
    </row>
    <row r="240" spans="1:8" ht="15">
      <c r="A240" s="81">
        <v>23332</v>
      </c>
      <c r="B240" s="81">
        <v>2.5</v>
      </c>
      <c r="C240" s="81">
        <v>1</v>
      </c>
      <c r="D240" s="81">
        <f t="shared" si="3"/>
        <v>3065.65</v>
      </c>
      <c r="G240" s="87">
        <v>23255</v>
      </c>
      <c r="H240" s="87">
        <v>2914.5650000000001</v>
      </c>
    </row>
    <row r="241" spans="1:8" ht="15">
      <c r="A241" s="81">
        <v>23340</v>
      </c>
      <c r="B241" s="81">
        <v>3.5999999046325701</v>
      </c>
      <c r="C241" s="81">
        <v>2</v>
      </c>
      <c r="D241" s="81">
        <f t="shared" si="3"/>
        <v>2319.0770000000002</v>
      </c>
      <c r="G241" s="87">
        <v>23325</v>
      </c>
      <c r="H241" s="87">
        <v>2128.9459999999999</v>
      </c>
    </row>
    <row r="242" spans="1:8" ht="15">
      <c r="A242" s="81">
        <v>23341</v>
      </c>
      <c r="B242" s="81">
        <v>2.5</v>
      </c>
      <c r="C242" s="81">
        <v>3</v>
      </c>
      <c r="D242" s="81">
        <f t="shared" si="3"/>
        <v>1211.2819999999999</v>
      </c>
      <c r="G242" s="87">
        <v>23332</v>
      </c>
      <c r="H242" s="87">
        <v>3065.65</v>
      </c>
    </row>
    <row r="243" spans="1:8" ht="15">
      <c r="A243" s="81">
        <v>23362</v>
      </c>
      <c r="B243" s="81">
        <v>2.5</v>
      </c>
      <c r="C243" s="81">
        <v>2</v>
      </c>
      <c r="D243" s="81">
        <f t="shared" si="3"/>
        <v>2914.5650000000001</v>
      </c>
      <c r="G243" s="87">
        <v>23340</v>
      </c>
      <c r="H243" s="87">
        <v>2319.0770000000002</v>
      </c>
    </row>
    <row r="244" spans="1:8" ht="15">
      <c r="A244" s="81">
        <v>23397</v>
      </c>
      <c r="B244" s="81">
        <v>5</v>
      </c>
      <c r="C244" s="81">
        <v>2</v>
      </c>
      <c r="D244" s="81">
        <f t="shared" si="3"/>
        <v>868.42899999999997</v>
      </c>
      <c r="G244" s="87">
        <v>23341</v>
      </c>
      <c r="H244" s="87">
        <v>1211.2819999999999</v>
      </c>
    </row>
    <row r="245" spans="1:8" ht="15">
      <c r="A245" s="81">
        <v>23457</v>
      </c>
      <c r="B245" s="81">
        <v>1.3999999761581401</v>
      </c>
      <c r="C245" s="81">
        <v>2</v>
      </c>
      <c r="D245" s="81">
        <f t="shared" si="3"/>
        <v>868.42899999999997</v>
      </c>
      <c r="G245" s="87">
        <v>23362</v>
      </c>
      <c r="H245" s="87">
        <v>2914.5650000000001</v>
      </c>
    </row>
    <row r="246" spans="1:8" ht="15">
      <c r="A246" s="81">
        <v>23471</v>
      </c>
      <c r="B246" s="81">
        <v>2.5</v>
      </c>
      <c r="C246" s="81">
        <v>2</v>
      </c>
      <c r="D246" s="81">
        <f t="shared" si="3"/>
        <v>868.42899999999997</v>
      </c>
      <c r="G246" s="87">
        <v>23397</v>
      </c>
      <c r="H246" s="87">
        <v>868.42899999999997</v>
      </c>
    </row>
    <row r="247" spans="1:8" ht="15">
      <c r="A247" s="81">
        <v>23472</v>
      </c>
      <c r="B247" s="81">
        <v>3</v>
      </c>
      <c r="C247" s="81">
        <v>2</v>
      </c>
      <c r="D247" s="81">
        <f t="shared" si="3"/>
        <v>2319.0770000000002</v>
      </c>
      <c r="G247" s="87">
        <v>23457</v>
      </c>
      <c r="H247" s="87">
        <v>868.42899999999997</v>
      </c>
    </row>
    <row r="248" spans="1:8" ht="15">
      <c r="A248" s="81">
        <v>23481</v>
      </c>
      <c r="B248" s="81">
        <v>4</v>
      </c>
      <c r="C248" s="81">
        <v>2</v>
      </c>
      <c r="D248" s="81">
        <f t="shared" si="3"/>
        <v>2128.9459999999999</v>
      </c>
      <c r="G248" s="87">
        <v>23471</v>
      </c>
      <c r="H248" s="87">
        <v>868.42899999999997</v>
      </c>
    </row>
    <row r="249" spans="1:8" ht="15">
      <c r="A249" s="81">
        <v>23490</v>
      </c>
      <c r="B249" s="81">
        <v>3.7999999523162802</v>
      </c>
      <c r="C249" s="81">
        <v>2</v>
      </c>
      <c r="D249" s="81">
        <f t="shared" si="3"/>
        <v>2319.0770000000002</v>
      </c>
      <c r="G249" s="87">
        <v>23472</v>
      </c>
      <c r="H249" s="87">
        <v>2319.0770000000002</v>
      </c>
    </row>
    <row r="250" spans="1:8" ht="15">
      <c r="A250" s="81">
        <v>23497</v>
      </c>
      <c r="B250" s="81">
        <v>2.75</v>
      </c>
      <c r="C250" s="81">
        <v>2</v>
      </c>
      <c r="D250" s="81">
        <f t="shared" si="3"/>
        <v>868.42899999999997</v>
      </c>
      <c r="G250" s="87">
        <v>23481</v>
      </c>
      <c r="H250" s="87">
        <v>2128.9459999999999</v>
      </c>
    </row>
    <row r="251" spans="1:8" ht="15">
      <c r="A251" s="81">
        <v>23525</v>
      </c>
      <c r="B251" s="81">
        <v>2.75</v>
      </c>
      <c r="C251" s="81">
        <v>1</v>
      </c>
      <c r="D251" s="81">
        <f t="shared" si="3"/>
        <v>868.42899999999997</v>
      </c>
      <c r="G251" s="87">
        <v>23490</v>
      </c>
      <c r="H251" s="87">
        <v>2319.0770000000002</v>
      </c>
    </row>
    <row r="252" spans="1:8" ht="15">
      <c r="A252" s="81">
        <v>23560</v>
      </c>
      <c r="B252" s="81">
        <v>5</v>
      </c>
      <c r="C252" s="81">
        <v>2</v>
      </c>
      <c r="D252" s="81">
        <f t="shared" si="3"/>
        <v>2128.9459999999999</v>
      </c>
      <c r="G252" s="87">
        <v>23497</v>
      </c>
      <c r="H252" s="87">
        <v>868.42899999999997</v>
      </c>
    </row>
    <row r="253" spans="1:8" ht="15">
      <c r="A253" s="81">
        <v>23613</v>
      </c>
      <c r="B253" s="81">
        <v>2.5</v>
      </c>
      <c r="C253" s="81">
        <v>1</v>
      </c>
      <c r="D253" s="81">
        <f t="shared" si="3"/>
        <v>1211.2819999999999</v>
      </c>
      <c r="G253" s="87">
        <v>23525</v>
      </c>
      <c r="H253" s="87">
        <v>868.42899999999997</v>
      </c>
    </row>
    <row r="254" spans="1:8" ht="15">
      <c r="A254" s="81">
        <v>23614</v>
      </c>
      <c r="B254" s="81">
        <v>2.75</v>
      </c>
      <c r="C254" s="81">
        <v>1</v>
      </c>
      <c r="D254" s="81">
        <f t="shared" si="3"/>
        <v>2914.5650000000001</v>
      </c>
      <c r="G254" s="87">
        <v>23560</v>
      </c>
      <c r="H254" s="87">
        <v>2128.9459999999999</v>
      </c>
    </row>
    <row r="255" spans="1:8" ht="15">
      <c r="A255" s="81">
        <v>23641</v>
      </c>
      <c r="B255" s="81">
        <v>1.5</v>
      </c>
      <c r="C255" s="81">
        <v>2</v>
      </c>
      <c r="D255" s="81">
        <f t="shared" si="3"/>
        <v>1211.2819999999999</v>
      </c>
      <c r="G255" s="87">
        <v>23613</v>
      </c>
      <c r="H255" s="87">
        <v>1211.2819999999999</v>
      </c>
    </row>
    <row r="256" spans="1:8" ht="15">
      <c r="A256" s="81">
        <v>23650</v>
      </c>
      <c r="B256" s="81">
        <v>2</v>
      </c>
      <c r="C256" s="81">
        <v>2</v>
      </c>
      <c r="D256" s="81">
        <f t="shared" si="3"/>
        <v>868.42899999999997</v>
      </c>
      <c r="G256" s="87">
        <v>23614</v>
      </c>
      <c r="H256" s="87">
        <v>2914.5650000000001</v>
      </c>
    </row>
    <row r="257" spans="1:8" ht="15">
      <c r="A257" s="81">
        <v>23658</v>
      </c>
      <c r="B257" s="81">
        <v>1.20000004768372</v>
      </c>
      <c r="C257" s="81">
        <v>2</v>
      </c>
      <c r="D257" s="81">
        <f t="shared" si="3"/>
        <v>868.42899999999997</v>
      </c>
      <c r="G257" s="87">
        <v>23641</v>
      </c>
      <c r="H257" s="87">
        <v>1211.2819999999999</v>
      </c>
    </row>
    <row r="258" spans="1:8" ht="15">
      <c r="A258" s="81">
        <v>23673</v>
      </c>
      <c r="B258" s="81">
        <v>2.25</v>
      </c>
      <c r="C258" s="81">
        <v>1</v>
      </c>
      <c r="D258" s="81">
        <f t="shared" si="3"/>
        <v>2914.5650000000001</v>
      </c>
      <c r="G258" s="87">
        <v>23650</v>
      </c>
      <c r="H258" s="87">
        <v>868.42899999999997</v>
      </c>
    </row>
    <row r="259" spans="1:8" ht="15">
      <c r="A259" s="81">
        <v>23726</v>
      </c>
      <c r="B259" s="81">
        <v>4</v>
      </c>
      <c r="C259" s="81">
        <v>2</v>
      </c>
      <c r="D259" s="81">
        <f t="shared" ref="D259:D320" si="4">VLOOKUP(A259,$G$2:$H$322,2,FALSE)</f>
        <v>2319.0770000000002</v>
      </c>
      <c r="G259" s="87">
        <v>23658</v>
      </c>
      <c r="H259" s="87">
        <v>868.42899999999997</v>
      </c>
    </row>
    <row r="260" spans="1:8" ht="15">
      <c r="A260" s="81">
        <v>23757</v>
      </c>
      <c r="B260" s="81">
        <v>1</v>
      </c>
      <c r="C260" s="81">
        <v>2</v>
      </c>
      <c r="D260" s="81">
        <f t="shared" si="4"/>
        <v>2128.9459999999999</v>
      </c>
      <c r="G260" s="87">
        <v>23673</v>
      </c>
      <c r="H260" s="87">
        <v>2914.5650000000001</v>
      </c>
    </row>
    <row r="261" spans="1:8" ht="15">
      <c r="A261" s="81">
        <v>23767</v>
      </c>
      <c r="B261" s="81">
        <v>1.75</v>
      </c>
      <c r="C261" s="81">
        <v>1</v>
      </c>
      <c r="D261" s="81">
        <f t="shared" si="4"/>
        <v>2319.0770000000002</v>
      </c>
      <c r="G261" s="87">
        <v>23726</v>
      </c>
      <c r="H261" s="87">
        <v>2319.0770000000002</v>
      </c>
    </row>
    <row r="262" spans="1:8" ht="15">
      <c r="A262" s="81">
        <v>23773</v>
      </c>
      <c r="B262" s="81">
        <v>1.75</v>
      </c>
      <c r="C262" s="81">
        <v>2</v>
      </c>
      <c r="D262" s="81">
        <f t="shared" si="4"/>
        <v>868.42899999999997</v>
      </c>
      <c r="G262" s="87">
        <v>23757</v>
      </c>
      <c r="H262" s="87">
        <v>2128.9459999999999</v>
      </c>
    </row>
    <row r="263" spans="1:8" ht="15">
      <c r="A263" s="81">
        <v>23779</v>
      </c>
      <c r="B263" s="81">
        <v>2</v>
      </c>
      <c r="C263" s="81">
        <v>2</v>
      </c>
      <c r="D263" s="81">
        <f t="shared" si="4"/>
        <v>1211.2819999999999</v>
      </c>
      <c r="G263" s="87">
        <v>23767</v>
      </c>
      <c r="H263" s="87">
        <v>2319.0770000000002</v>
      </c>
    </row>
    <row r="264" spans="1:8" ht="15">
      <c r="A264" s="81">
        <v>23786</v>
      </c>
      <c r="B264" s="81">
        <v>2</v>
      </c>
      <c r="C264" s="81">
        <v>1</v>
      </c>
      <c r="D264" s="81">
        <f t="shared" si="4"/>
        <v>1211.2819999999999</v>
      </c>
      <c r="G264" s="87">
        <v>23773</v>
      </c>
      <c r="H264" s="87">
        <v>868.42899999999997</v>
      </c>
    </row>
    <row r="265" spans="1:8" ht="15">
      <c r="A265" s="81">
        <v>23803</v>
      </c>
      <c r="B265" s="81">
        <v>2.5</v>
      </c>
      <c r="C265" s="81">
        <v>2</v>
      </c>
      <c r="D265" s="81">
        <f t="shared" si="4"/>
        <v>1211.2819999999999</v>
      </c>
      <c r="G265" s="87">
        <v>23779</v>
      </c>
      <c r="H265" s="87">
        <v>1211.2819999999999</v>
      </c>
    </row>
    <row r="266" spans="1:8" ht="15">
      <c r="A266" s="81">
        <v>23805</v>
      </c>
      <c r="B266" s="81">
        <v>3</v>
      </c>
      <c r="C266" s="81">
        <v>2</v>
      </c>
      <c r="D266" s="81">
        <f t="shared" si="4"/>
        <v>2319.0770000000002</v>
      </c>
      <c r="G266" s="87">
        <v>23786</v>
      </c>
      <c r="H266" s="87">
        <v>1211.2819999999999</v>
      </c>
    </row>
    <row r="267" spans="1:8" ht="15">
      <c r="A267" s="81">
        <v>23863</v>
      </c>
      <c r="B267" s="81">
        <v>4</v>
      </c>
      <c r="C267" s="81">
        <v>2</v>
      </c>
      <c r="D267" s="81">
        <f t="shared" si="4"/>
        <v>2128.8850000000002</v>
      </c>
      <c r="G267" s="87">
        <v>23803</v>
      </c>
      <c r="H267" s="87">
        <v>1211.2819999999999</v>
      </c>
    </row>
    <row r="268" spans="1:8" ht="15">
      <c r="A268" s="81">
        <v>23900</v>
      </c>
      <c r="B268" s="81">
        <v>1.79999995231628</v>
      </c>
      <c r="C268" s="81">
        <v>2</v>
      </c>
      <c r="D268" s="81">
        <f t="shared" si="4"/>
        <v>2319.0770000000002</v>
      </c>
      <c r="G268" s="87">
        <v>23805</v>
      </c>
      <c r="H268" s="87">
        <v>2319.0770000000002</v>
      </c>
    </row>
    <row r="269" spans="1:8" ht="15">
      <c r="A269" s="81">
        <v>23954</v>
      </c>
      <c r="B269" s="81">
        <v>2.5</v>
      </c>
      <c r="C269" s="81">
        <v>2</v>
      </c>
      <c r="D269" s="81">
        <f t="shared" si="4"/>
        <v>1211.2819999999999</v>
      </c>
      <c r="G269" s="87">
        <v>23863</v>
      </c>
      <c r="H269" s="87">
        <v>2128.8850000000002</v>
      </c>
    </row>
    <row r="270" spans="1:8" ht="15">
      <c r="A270" s="81">
        <v>23958</v>
      </c>
      <c r="B270" s="81">
        <v>1.75</v>
      </c>
      <c r="C270" s="81">
        <v>1</v>
      </c>
      <c r="D270" s="81">
        <f t="shared" si="4"/>
        <v>868.42899999999997</v>
      </c>
      <c r="G270" s="87">
        <v>23900</v>
      </c>
      <c r="H270" s="87">
        <v>2319.0770000000002</v>
      </c>
    </row>
    <row r="271" spans="1:8" ht="15">
      <c r="A271" s="81">
        <v>23968</v>
      </c>
      <c r="B271" s="81">
        <v>1.79999995231628</v>
      </c>
      <c r="C271" s="81">
        <v>1</v>
      </c>
      <c r="D271" s="81">
        <f t="shared" si="4"/>
        <v>868.42899999999997</v>
      </c>
      <c r="G271" s="87">
        <v>23954</v>
      </c>
      <c r="H271" s="87">
        <v>1211.2819999999999</v>
      </c>
    </row>
    <row r="272" spans="1:8" ht="15">
      <c r="A272" s="81">
        <v>23977</v>
      </c>
      <c r="B272" s="81">
        <v>1.5</v>
      </c>
      <c r="C272" s="81">
        <v>2</v>
      </c>
      <c r="D272" s="81">
        <f t="shared" si="4"/>
        <v>2128.8850000000002</v>
      </c>
      <c r="G272" s="87">
        <v>23958</v>
      </c>
      <c r="H272" s="87">
        <v>868.42899999999997</v>
      </c>
    </row>
    <row r="273" spans="1:8" ht="15">
      <c r="A273" s="81">
        <v>23993</v>
      </c>
      <c r="B273" s="81">
        <v>2.75</v>
      </c>
      <c r="C273" s="81">
        <v>2</v>
      </c>
      <c r="D273" s="81">
        <f t="shared" si="4"/>
        <v>3065.65</v>
      </c>
      <c r="G273" s="87">
        <v>23968</v>
      </c>
      <c r="H273" s="87">
        <v>868.42899999999997</v>
      </c>
    </row>
    <row r="274" spans="1:8" ht="15">
      <c r="A274" s="81">
        <v>24063</v>
      </c>
      <c r="B274" s="81">
        <v>2.75</v>
      </c>
      <c r="C274" s="81">
        <v>1</v>
      </c>
      <c r="D274" s="81">
        <f t="shared" si="4"/>
        <v>2319.0770000000002</v>
      </c>
      <c r="G274" s="87">
        <v>23977</v>
      </c>
      <c r="H274" s="87">
        <v>2128.8850000000002</v>
      </c>
    </row>
    <row r="275" spans="1:8" ht="15">
      <c r="A275" s="81">
        <v>24074</v>
      </c>
      <c r="B275" s="81">
        <v>1.25</v>
      </c>
      <c r="C275" s="81">
        <v>2</v>
      </c>
      <c r="D275" s="81">
        <f t="shared" si="4"/>
        <v>2128.8850000000002</v>
      </c>
      <c r="G275" s="87">
        <v>23993</v>
      </c>
      <c r="H275" s="87">
        <v>3065.65</v>
      </c>
    </row>
    <row r="276" spans="1:8" ht="15">
      <c r="A276" s="81">
        <v>24113</v>
      </c>
      <c r="B276" s="81">
        <v>1.25</v>
      </c>
      <c r="C276" s="81">
        <v>2</v>
      </c>
      <c r="D276" s="81">
        <f t="shared" si="4"/>
        <v>868.42899999999997</v>
      </c>
      <c r="G276" s="87">
        <v>24063</v>
      </c>
      <c r="H276" s="87">
        <v>2319.0770000000002</v>
      </c>
    </row>
    <row r="277" spans="1:8" ht="15">
      <c r="A277" s="81">
        <v>24130</v>
      </c>
      <c r="B277" s="81">
        <v>4.25</v>
      </c>
      <c r="C277" s="81">
        <v>2</v>
      </c>
      <c r="D277" s="81">
        <f t="shared" si="4"/>
        <v>868.42899999999997</v>
      </c>
      <c r="G277" s="87">
        <v>24074</v>
      </c>
      <c r="H277" s="87">
        <v>2128.8850000000002</v>
      </c>
    </row>
    <row r="278" spans="1:8" ht="15">
      <c r="A278" s="81">
        <v>24157</v>
      </c>
      <c r="B278" s="81">
        <v>2.5</v>
      </c>
      <c r="C278" s="81">
        <v>1</v>
      </c>
      <c r="D278" s="81">
        <f t="shared" si="4"/>
        <v>2319.0770000000002</v>
      </c>
      <c r="G278" s="87">
        <v>24113</v>
      </c>
      <c r="H278" s="87">
        <v>868.42899999999997</v>
      </c>
    </row>
    <row r="279" spans="1:8" ht="15">
      <c r="A279" s="81">
        <v>24167</v>
      </c>
      <c r="B279" s="81">
        <v>2.5</v>
      </c>
      <c r="C279" s="81">
        <v>1</v>
      </c>
      <c r="D279" s="81">
        <f t="shared" si="4"/>
        <v>2128.8850000000002</v>
      </c>
      <c r="G279" s="87">
        <v>24130</v>
      </c>
      <c r="H279" s="87">
        <v>868.42899999999997</v>
      </c>
    </row>
    <row r="280" spans="1:8" ht="15">
      <c r="A280" s="81">
        <v>24174</v>
      </c>
      <c r="B280" s="81">
        <v>2</v>
      </c>
      <c r="C280" s="81">
        <v>2</v>
      </c>
      <c r="D280" s="81">
        <f t="shared" si="4"/>
        <v>1211.2819999999999</v>
      </c>
      <c r="G280" s="87">
        <v>24157</v>
      </c>
      <c r="H280" s="87">
        <v>2319.0770000000002</v>
      </c>
    </row>
    <row r="281" spans="1:8" ht="15">
      <c r="A281" s="81">
        <v>24176</v>
      </c>
      <c r="B281" s="81">
        <v>2.25</v>
      </c>
      <c r="C281" s="81">
        <v>1</v>
      </c>
      <c r="D281" s="81">
        <f t="shared" si="4"/>
        <v>868.42899999999997</v>
      </c>
      <c r="G281" s="87">
        <v>24167</v>
      </c>
      <c r="H281" s="87">
        <v>2128.8850000000002</v>
      </c>
    </row>
    <row r="282" spans="1:8" ht="15">
      <c r="A282" s="81">
        <v>24181</v>
      </c>
      <c r="B282" s="81">
        <v>1.75</v>
      </c>
      <c r="C282" s="81">
        <v>2</v>
      </c>
      <c r="D282" s="81">
        <f t="shared" si="4"/>
        <v>868.42899999999997</v>
      </c>
      <c r="G282" s="87">
        <v>24174</v>
      </c>
      <c r="H282" s="87">
        <v>1211.2819999999999</v>
      </c>
    </row>
    <row r="283" spans="1:8" ht="15">
      <c r="A283" s="81">
        <v>24192</v>
      </c>
      <c r="B283" s="81">
        <v>2.5</v>
      </c>
      <c r="C283" s="81">
        <v>2</v>
      </c>
      <c r="D283" s="81">
        <f t="shared" si="4"/>
        <v>1211.2819999999999</v>
      </c>
      <c r="G283" s="87">
        <v>24176</v>
      </c>
      <c r="H283" s="87">
        <v>868.42899999999997</v>
      </c>
    </row>
    <row r="284" spans="1:8" ht="15">
      <c r="A284" s="81">
        <v>24220</v>
      </c>
      <c r="B284" s="81">
        <v>2.5</v>
      </c>
      <c r="C284" s="81">
        <v>2</v>
      </c>
      <c r="D284" s="81">
        <f t="shared" si="4"/>
        <v>868.42899999999997</v>
      </c>
      <c r="G284" s="87">
        <v>24181</v>
      </c>
      <c r="H284" s="87">
        <v>868.42899999999997</v>
      </c>
    </row>
    <row r="285" spans="1:8" ht="15">
      <c r="A285" s="81">
        <v>24280</v>
      </c>
      <c r="B285" s="81">
        <v>5</v>
      </c>
      <c r="C285" s="81">
        <v>1</v>
      </c>
      <c r="D285" s="81">
        <f t="shared" si="4"/>
        <v>2319.0770000000002</v>
      </c>
      <c r="G285" s="87">
        <v>24192</v>
      </c>
      <c r="H285" s="87">
        <v>1211.2819999999999</v>
      </c>
    </row>
    <row r="286" spans="1:8" ht="15">
      <c r="A286" s="81">
        <v>24300</v>
      </c>
      <c r="B286" s="81">
        <v>2.5</v>
      </c>
      <c r="C286" s="81">
        <v>2</v>
      </c>
      <c r="D286" s="81">
        <f t="shared" si="4"/>
        <v>1211.2819999999999</v>
      </c>
      <c r="G286" s="87">
        <v>24220</v>
      </c>
      <c r="H286" s="87">
        <v>868.42899999999997</v>
      </c>
    </row>
    <row r="287" spans="1:8" ht="15">
      <c r="A287" s="81">
        <v>24326</v>
      </c>
      <c r="B287" s="81">
        <v>2</v>
      </c>
      <c r="C287" s="81">
        <v>2</v>
      </c>
      <c r="D287" s="81">
        <f t="shared" si="4"/>
        <v>868.42899999999997</v>
      </c>
      <c r="G287" s="87">
        <v>24280</v>
      </c>
      <c r="H287" s="87">
        <v>2319.0770000000002</v>
      </c>
    </row>
    <row r="288" spans="1:8" ht="15">
      <c r="A288" s="81">
        <v>24328</v>
      </c>
      <c r="B288" s="81">
        <v>2.5</v>
      </c>
      <c r="C288" s="81">
        <v>1</v>
      </c>
      <c r="D288" s="81">
        <f t="shared" si="4"/>
        <v>3065.65</v>
      </c>
      <c r="G288" s="87">
        <v>24300</v>
      </c>
      <c r="H288" s="87">
        <v>1211.2819999999999</v>
      </c>
    </row>
    <row r="289" spans="1:8" ht="15">
      <c r="A289" s="81">
        <v>24339</v>
      </c>
      <c r="B289" s="81">
        <v>1.25</v>
      </c>
      <c r="C289" s="81">
        <v>2</v>
      </c>
      <c r="D289" s="81">
        <f t="shared" si="4"/>
        <v>2914.5650000000001</v>
      </c>
      <c r="G289" s="87">
        <v>24326</v>
      </c>
      <c r="H289" s="87">
        <v>868.42899999999997</v>
      </c>
    </row>
    <row r="290" spans="1:8" ht="15">
      <c r="A290" s="81">
        <v>24386</v>
      </c>
      <c r="B290" s="81">
        <v>2</v>
      </c>
      <c r="C290" s="81">
        <v>2</v>
      </c>
      <c r="D290" s="81">
        <f t="shared" si="4"/>
        <v>2128.9459999999999</v>
      </c>
      <c r="G290" s="87">
        <v>24328</v>
      </c>
      <c r="H290" s="87">
        <v>3065.65</v>
      </c>
    </row>
    <row r="291" spans="1:8" ht="15">
      <c r="A291" s="81">
        <v>24393</v>
      </c>
      <c r="B291" s="81">
        <v>3.2999999523162802</v>
      </c>
      <c r="C291" s="81">
        <v>2</v>
      </c>
      <c r="D291" s="81">
        <f t="shared" si="4"/>
        <v>2128.8850000000002</v>
      </c>
      <c r="G291" s="87">
        <v>24339</v>
      </c>
      <c r="H291" s="87">
        <v>2914.5650000000001</v>
      </c>
    </row>
    <row r="292" spans="1:8" ht="15">
      <c r="A292" s="81">
        <v>24396</v>
      </c>
      <c r="B292" s="81">
        <v>4</v>
      </c>
      <c r="C292" s="81">
        <v>2</v>
      </c>
      <c r="D292" s="81">
        <f t="shared" si="4"/>
        <v>2319.0770000000002</v>
      </c>
      <c r="G292" s="87">
        <v>24386</v>
      </c>
      <c r="H292" s="87">
        <v>2128.9459999999999</v>
      </c>
    </row>
    <row r="293" spans="1:8" ht="15">
      <c r="A293" s="81">
        <v>24414</v>
      </c>
      <c r="B293" s="81">
        <v>2.5</v>
      </c>
      <c r="C293" s="81">
        <v>2</v>
      </c>
      <c r="D293" s="81">
        <f t="shared" si="4"/>
        <v>1211.2819999999999</v>
      </c>
      <c r="G293" s="87">
        <v>24393</v>
      </c>
      <c r="H293" s="87">
        <v>2128.8850000000002</v>
      </c>
    </row>
    <row r="294" spans="1:8" ht="15">
      <c r="A294" s="81">
        <v>24420</v>
      </c>
      <c r="B294" s="81">
        <v>1</v>
      </c>
      <c r="C294" s="81">
        <v>2</v>
      </c>
      <c r="D294" s="81">
        <f t="shared" si="4"/>
        <v>2319.0770000000002</v>
      </c>
      <c r="G294" s="87">
        <v>24396</v>
      </c>
      <c r="H294" s="87">
        <v>2319.0770000000002</v>
      </c>
    </row>
    <row r="295" spans="1:8" ht="15">
      <c r="A295" s="81">
        <v>24421</v>
      </c>
      <c r="B295" s="81">
        <v>1.8999999761581401</v>
      </c>
      <c r="C295" s="81">
        <v>1</v>
      </c>
      <c r="D295" s="81">
        <f t="shared" si="4"/>
        <v>868.42899999999997</v>
      </c>
      <c r="G295" s="87">
        <v>24414</v>
      </c>
      <c r="H295" s="87">
        <v>1211.2819999999999</v>
      </c>
    </row>
    <row r="296" spans="1:8" ht="15">
      <c r="A296" s="81">
        <v>24428</v>
      </c>
      <c r="B296" s="81">
        <v>3</v>
      </c>
      <c r="C296" s="81">
        <v>2</v>
      </c>
      <c r="D296" s="81">
        <f t="shared" si="4"/>
        <v>2128.9459999999999</v>
      </c>
      <c r="G296" s="87">
        <v>24420</v>
      </c>
      <c r="H296" s="87">
        <v>2319.0770000000002</v>
      </c>
    </row>
    <row r="297" spans="1:8" ht="15">
      <c r="A297" s="81">
        <v>24450</v>
      </c>
      <c r="B297" s="81">
        <v>0.75</v>
      </c>
      <c r="C297" s="81">
        <v>1</v>
      </c>
      <c r="D297" s="81">
        <f t="shared" si="4"/>
        <v>868.42899999999997</v>
      </c>
      <c r="G297" s="87">
        <v>24421</v>
      </c>
      <c r="H297" s="87">
        <v>868.42899999999997</v>
      </c>
    </row>
    <row r="298" spans="1:8" ht="15">
      <c r="A298" s="81">
        <v>24473</v>
      </c>
      <c r="B298" s="81">
        <v>2</v>
      </c>
      <c r="C298" s="81">
        <v>1</v>
      </c>
      <c r="D298" s="81">
        <f t="shared" si="4"/>
        <v>2319.0770000000002</v>
      </c>
      <c r="G298" s="87">
        <v>24428</v>
      </c>
      <c r="H298" s="87">
        <v>2128.9459999999999</v>
      </c>
    </row>
    <row r="299" spans="1:8" ht="15">
      <c r="A299" s="81">
        <v>24476</v>
      </c>
      <c r="B299" s="81">
        <v>1.5</v>
      </c>
      <c r="C299" s="81">
        <v>1</v>
      </c>
      <c r="D299" s="81">
        <f t="shared" si="4"/>
        <v>3065.65</v>
      </c>
      <c r="G299" s="87">
        <v>24450</v>
      </c>
      <c r="H299" s="87">
        <v>868.42899999999997</v>
      </c>
    </row>
    <row r="300" spans="1:8" ht="15">
      <c r="A300" s="81">
        <v>24507</v>
      </c>
      <c r="B300" s="81">
        <v>5</v>
      </c>
      <c r="C300" s="81">
        <v>2</v>
      </c>
      <c r="D300" s="81">
        <f t="shared" si="4"/>
        <v>2319.0770000000002</v>
      </c>
      <c r="G300" s="87">
        <v>24473</v>
      </c>
      <c r="H300" s="87">
        <v>2319.0770000000002</v>
      </c>
    </row>
    <row r="301" spans="1:8" ht="15">
      <c r="A301" s="81">
        <v>24509</v>
      </c>
      <c r="B301" s="81">
        <v>1.75</v>
      </c>
      <c r="C301" s="81">
        <v>1</v>
      </c>
      <c r="D301" s="81">
        <f t="shared" si="4"/>
        <v>868.42899999999997</v>
      </c>
      <c r="G301" s="87">
        <v>24476</v>
      </c>
      <c r="H301" s="87">
        <v>3065.65</v>
      </c>
    </row>
    <row r="302" spans="1:8" ht="15">
      <c r="A302" s="81">
        <v>24582</v>
      </c>
      <c r="B302" s="81">
        <v>2</v>
      </c>
      <c r="C302" s="81">
        <v>1</v>
      </c>
      <c r="D302" s="81">
        <f t="shared" si="4"/>
        <v>3065.65</v>
      </c>
      <c r="G302" s="87">
        <v>24507</v>
      </c>
      <c r="H302" s="87">
        <v>2319.0770000000002</v>
      </c>
    </row>
    <row r="303" spans="1:8" ht="15">
      <c r="A303" s="81">
        <v>24591</v>
      </c>
      <c r="B303" s="81">
        <v>1.1000000238418599</v>
      </c>
      <c r="C303" s="81">
        <v>1</v>
      </c>
      <c r="D303" s="81">
        <f t="shared" si="4"/>
        <v>868.42899999999997</v>
      </c>
      <c r="G303" s="87">
        <v>24509</v>
      </c>
      <c r="H303" s="87">
        <v>868.42899999999997</v>
      </c>
    </row>
    <row r="304" spans="1:8" ht="15">
      <c r="A304" s="81">
        <v>24595</v>
      </c>
      <c r="B304" s="81">
        <v>2.5</v>
      </c>
      <c r="C304" s="81">
        <v>2</v>
      </c>
      <c r="D304" s="81">
        <f t="shared" si="4"/>
        <v>1211.2819999999999</v>
      </c>
      <c r="G304" s="87">
        <v>24582</v>
      </c>
      <c r="H304" s="87">
        <v>3065.65</v>
      </c>
    </row>
    <row r="305" spans="1:8" ht="15">
      <c r="A305" s="81">
        <v>24599</v>
      </c>
      <c r="B305" s="81">
        <v>2.75</v>
      </c>
      <c r="C305" s="81">
        <v>1</v>
      </c>
      <c r="D305" s="81">
        <f t="shared" si="4"/>
        <v>2914.5650000000001</v>
      </c>
      <c r="G305" s="87">
        <v>24591</v>
      </c>
      <c r="H305" s="87">
        <v>868.42899999999997</v>
      </c>
    </row>
    <row r="306" spans="1:8" ht="15">
      <c r="A306" s="81">
        <v>24604</v>
      </c>
      <c r="B306" s="81">
        <v>2.5</v>
      </c>
      <c r="C306" s="81">
        <v>1</v>
      </c>
      <c r="D306" s="81">
        <f t="shared" si="4"/>
        <v>1211.2819999999999</v>
      </c>
      <c r="G306" s="87">
        <v>24595</v>
      </c>
      <c r="H306" s="87">
        <v>1211.2819999999999</v>
      </c>
    </row>
    <row r="307" spans="1:8" ht="15">
      <c r="A307" s="81">
        <v>24606</v>
      </c>
      <c r="B307" s="81">
        <v>2.5</v>
      </c>
      <c r="C307" s="81">
        <v>1</v>
      </c>
      <c r="D307" s="81">
        <f t="shared" si="4"/>
        <v>868.42899999999997</v>
      </c>
      <c r="G307" s="87">
        <v>24599</v>
      </c>
      <c r="H307" s="87">
        <v>2914.5650000000001</v>
      </c>
    </row>
    <row r="308" spans="1:8" ht="15">
      <c r="A308" s="81">
        <v>24613</v>
      </c>
      <c r="B308" s="81">
        <v>2</v>
      </c>
      <c r="C308" s="81">
        <v>1</v>
      </c>
      <c r="D308" s="81">
        <f t="shared" si="4"/>
        <v>3065.65</v>
      </c>
      <c r="G308" s="87">
        <v>24604</v>
      </c>
      <c r="H308" s="87">
        <v>1211.2819999999999</v>
      </c>
    </row>
    <row r="309" spans="1:8" ht="15">
      <c r="A309" s="81">
        <v>24659</v>
      </c>
      <c r="B309" s="81">
        <v>3</v>
      </c>
      <c r="C309" s="81">
        <v>2</v>
      </c>
      <c r="D309" s="81">
        <f t="shared" si="4"/>
        <v>2128.9459999999999</v>
      </c>
      <c r="G309" s="87">
        <v>24606</v>
      </c>
      <c r="H309" s="87">
        <v>868.42899999999997</v>
      </c>
    </row>
    <row r="310" spans="1:8" ht="15">
      <c r="A310" s="81">
        <v>24669</v>
      </c>
      <c r="B310" s="81">
        <v>1.5</v>
      </c>
      <c r="C310" s="81">
        <v>2</v>
      </c>
      <c r="D310" s="81">
        <f t="shared" si="4"/>
        <v>868.42899999999997</v>
      </c>
      <c r="G310" s="87">
        <v>24613</v>
      </c>
      <c r="H310" s="87">
        <v>3065.65</v>
      </c>
    </row>
    <row r="311" spans="1:8" ht="15">
      <c r="A311" s="81">
        <v>24692</v>
      </c>
      <c r="B311" s="81">
        <v>2.5</v>
      </c>
      <c r="C311" s="81">
        <v>2</v>
      </c>
      <c r="D311" s="81">
        <f t="shared" si="4"/>
        <v>1211.2819999999999</v>
      </c>
      <c r="G311" s="87">
        <v>24659</v>
      </c>
      <c r="H311" s="87">
        <v>2128.9459999999999</v>
      </c>
    </row>
    <row r="312" spans="1:8" ht="15">
      <c r="A312" s="81">
        <v>24708</v>
      </c>
      <c r="B312" s="81">
        <v>2</v>
      </c>
      <c r="C312" s="81">
        <v>2</v>
      </c>
      <c r="D312" s="81">
        <f t="shared" si="4"/>
        <v>2914.5650000000001</v>
      </c>
      <c r="G312" s="87">
        <v>24669</v>
      </c>
      <c r="H312" s="87">
        <v>868.42899999999997</v>
      </c>
    </row>
    <row r="313" spans="1:8" ht="15">
      <c r="A313" s="81">
        <v>24712</v>
      </c>
      <c r="B313" s="81">
        <v>2.75</v>
      </c>
      <c r="C313" s="81">
        <v>2</v>
      </c>
      <c r="D313" s="81">
        <f t="shared" si="4"/>
        <v>2914.5650000000001</v>
      </c>
      <c r="G313" s="87">
        <v>24692</v>
      </c>
      <c r="H313" s="87">
        <v>1211.2819999999999</v>
      </c>
    </row>
    <row r="314" spans="1:8" ht="15">
      <c r="A314" s="81">
        <v>24719</v>
      </c>
      <c r="B314" s="81">
        <v>3</v>
      </c>
      <c r="C314" s="81">
        <v>2</v>
      </c>
      <c r="D314" s="81">
        <f t="shared" si="4"/>
        <v>2128.9459999999999</v>
      </c>
      <c r="G314" s="87">
        <v>24708</v>
      </c>
      <c r="H314" s="87">
        <v>2914.5650000000001</v>
      </c>
    </row>
    <row r="315" spans="1:8" ht="15">
      <c r="A315" s="81">
        <v>24736</v>
      </c>
      <c r="B315" s="81">
        <v>1.79999995231628</v>
      </c>
      <c r="C315" s="81">
        <v>2</v>
      </c>
      <c r="D315" s="81">
        <f t="shared" si="4"/>
        <v>2319.0770000000002</v>
      </c>
      <c r="G315" s="87">
        <v>24712</v>
      </c>
      <c r="H315" s="87">
        <v>2914.5650000000001</v>
      </c>
    </row>
    <row r="316" spans="1:8" ht="15">
      <c r="A316" s="81">
        <v>24763</v>
      </c>
      <c r="B316" s="81">
        <v>3.5</v>
      </c>
      <c r="C316" s="81">
        <v>2</v>
      </c>
      <c r="D316" s="81">
        <f t="shared" si="4"/>
        <v>2914.5650000000001</v>
      </c>
      <c r="G316" s="87">
        <v>24719</v>
      </c>
      <c r="H316" s="87">
        <v>2128.9459999999999</v>
      </c>
    </row>
    <row r="317" spans="1:8" ht="15">
      <c r="A317" s="81">
        <v>24771</v>
      </c>
      <c r="B317" s="81">
        <v>2</v>
      </c>
      <c r="C317" s="81">
        <v>1</v>
      </c>
      <c r="D317" s="81">
        <f t="shared" si="4"/>
        <v>1211.2819999999999</v>
      </c>
      <c r="G317" s="87">
        <v>24736</v>
      </c>
      <c r="H317" s="87">
        <v>2319.0770000000002</v>
      </c>
    </row>
    <row r="318" spans="1:8" ht="15">
      <c r="A318" s="81">
        <v>24779</v>
      </c>
      <c r="B318" s="81">
        <v>2.5</v>
      </c>
      <c r="C318" s="81">
        <v>2</v>
      </c>
      <c r="D318" s="81">
        <f t="shared" si="4"/>
        <v>1211.2819999999999</v>
      </c>
      <c r="G318" s="87">
        <v>24763</v>
      </c>
      <c r="H318" s="87">
        <v>2914.5650000000001</v>
      </c>
    </row>
    <row r="319" spans="1:8" ht="15">
      <c r="A319" s="81">
        <v>24847</v>
      </c>
      <c r="B319" s="81">
        <v>1.5</v>
      </c>
      <c r="C319" s="81">
        <v>2</v>
      </c>
      <c r="D319" s="81">
        <f t="shared" si="4"/>
        <v>2128.8850000000002</v>
      </c>
      <c r="G319" s="87">
        <v>24771</v>
      </c>
      <c r="H319" s="87">
        <v>1211.2819999999999</v>
      </c>
    </row>
    <row r="320" spans="1:8" ht="15">
      <c r="A320" s="81">
        <v>24854</v>
      </c>
      <c r="B320" s="81">
        <v>3</v>
      </c>
      <c r="C320" s="81">
        <v>2</v>
      </c>
      <c r="D320" s="81">
        <f t="shared" si="4"/>
        <v>1211.2819999999999</v>
      </c>
      <c r="G320" s="87">
        <v>24779</v>
      </c>
      <c r="H320" s="87">
        <v>1211.2819999999999</v>
      </c>
    </row>
    <row r="321" spans="7:8" ht="15">
      <c r="G321" s="87">
        <v>24847</v>
      </c>
      <c r="H321" s="87">
        <v>2128.8850000000002</v>
      </c>
    </row>
    <row r="322" spans="7:8" ht="15">
      <c r="G322" s="87">
        <v>24854</v>
      </c>
      <c r="H322" s="87">
        <v>1211.2819999999999</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sheetPr codeName="Sheet6"/>
  <dimension ref="A1:K553"/>
  <sheetViews>
    <sheetView workbookViewId="0">
      <selection activeCell="M17" sqref="M17"/>
    </sheetView>
  </sheetViews>
  <sheetFormatPr defaultRowHeight="12.75"/>
  <cols>
    <col min="1" max="16384" width="9.140625" style="81"/>
  </cols>
  <sheetData>
    <row r="1" spans="1:11" ht="15">
      <c r="A1" s="81" t="s">
        <v>176</v>
      </c>
      <c r="B1" s="81" t="s">
        <v>196</v>
      </c>
      <c r="C1" s="81" t="s">
        <v>178</v>
      </c>
      <c r="D1" s="81" t="s">
        <v>179</v>
      </c>
      <c r="E1" s="81" t="s">
        <v>195</v>
      </c>
      <c r="F1" t="s">
        <v>194</v>
      </c>
      <c r="H1" s="82" t="s">
        <v>176</v>
      </c>
      <c r="I1" s="82" t="s">
        <v>196</v>
      </c>
      <c r="J1" s="82" t="s">
        <v>198</v>
      </c>
      <c r="K1" s="82" t="s">
        <v>197</v>
      </c>
    </row>
    <row r="2" spans="1:11" ht="15">
      <c r="A2" s="81">
        <v>128</v>
      </c>
      <c r="B2" s="81">
        <v>1</v>
      </c>
      <c r="C2" s="81">
        <v>1.75</v>
      </c>
      <c r="D2" s="81">
        <v>1</v>
      </c>
      <c r="E2" s="81">
        <f>VLOOKUP(A2&amp;B2,$J$2:$K$553,2,FALSE)</f>
        <v>2514.8809999999999</v>
      </c>
      <c r="F2" s="85">
        <f>SUMPRODUCT(D2:D540,E2:E540)/SUM($E$2:$E$540)</f>
        <v>1.2545812426096488</v>
      </c>
      <c r="H2" s="83">
        <v>128</v>
      </c>
      <c r="I2" s="83">
        <v>1</v>
      </c>
      <c r="J2" s="83" t="str">
        <f>H2&amp;I2</f>
        <v>1281</v>
      </c>
      <c r="K2" s="83">
        <v>2514.8809999999999</v>
      </c>
    </row>
    <row r="3" spans="1:11" ht="15">
      <c r="A3" s="81">
        <v>128</v>
      </c>
      <c r="B3" s="81">
        <v>2</v>
      </c>
      <c r="C3" s="81">
        <v>2</v>
      </c>
      <c r="D3" s="81">
        <v>1</v>
      </c>
      <c r="E3" s="81">
        <f t="shared" ref="E3:E66" si="0">VLOOKUP(A3&amp;B3,$J$2:$K$553,2,FALSE)</f>
        <v>2514.8809999999999</v>
      </c>
      <c r="H3" s="83">
        <v>128</v>
      </c>
      <c r="I3" s="83">
        <v>2</v>
      </c>
      <c r="J3" s="83" t="str">
        <f t="shared" ref="J3:J66" si="1">H3&amp;I3</f>
        <v>1282</v>
      </c>
      <c r="K3" s="83">
        <v>2514.8809999999999</v>
      </c>
    </row>
    <row r="4" spans="1:11" ht="15">
      <c r="A4" s="81">
        <v>128</v>
      </c>
      <c r="B4" s="81">
        <v>3</v>
      </c>
      <c r="C4" s="81">
        <v>2</v>
      </c>
      <c r="D4" s="81">
        <v>1</v>
      </c>
      <c r="E4" s="81">
        <f t="shared" si="0"/>
        <v>2514.8809999999999</v>
      </c>
      <c r="H4" s="83">
        <v>128</v>
      </c>
      <c r="I4" s="83">
        <v>3</v>
      </c>
      <c r="J4" s="83" t="str">
        <f t="shared" si="1"/>
        <v>1283</v>
      </c>
      <c r="K4" s="83">
        <v>2514.8809999999999</v>
      </c>
    </row>
    <row r="5" spans="1:11" ht="15">
      <c r="A5" s="81">
        <v>10137</v>
      </c>
      <c r="B5" s="81">
        <v>1</v>
      </c>
      <c r="C5" s="81">
        <v>2.25</v>
      </c>
      <c r="D5" s="81">
        <v>1</v>
      </c>
      <c r="E5" s="81">
        <f t="shared" si="0"/>
        <v>2402.152</v>
      </c>
      <c r="H5" s="83">
        <v>10137</v>
      </c>
      <c r="I5" s="83">
        <v>1</v>
      </c>
      <c r="J5" s="83" t="str">
        <f t="shared" si="1"/>
        <v>101371</v>
      </c>
      <c r="K5" s="83">
        <v>2402.152</v>
      </c>
    </row>
    <row r="6" spans="1:11" ht="15">
      <c r="A6" s="81">
        <v>10137</v>
      </c>
      <c r="B6" s="81">
        <v>2</v>
      </c>
      <c r="C6" s="81">
        <v>1.5</v>
      </c>
      <c r="D6" s="81">
        <v>1</v>
      </c>
      <c r="E6" s="81">
        <f t="shared" si="0"/>
        <v>2402.152</v>
      </c>
      <c r="H6" s="83">
        <v>10137</v>
      </c>
      <c r="I6" s="83">
        <v>2</v>
      </c>
      <c r="J6" s="83" t="str">
        <f t="shared" si="1"/>
        <v>101372</v>
      </c>
      <c r="K6" s="83">
        <v>2402.152</v>
      </c>
    </row>
    <row r="7" spans="1:11" ht="15">
      <c r="A7" s="81">
        <v>10238</v>
      </c>
      <c r="B7" s="81">
        <v>1</v>
      </c>
      <c r="C7" s="81">
        <v>2</v>
      </c>
      <c r="D7" s="81">
        <v>2</v>
      </c>
      <c r="E7" s="81">
        <f t="shared" si="0"/>
        <v>1601.434</v>
      </c>
      <c r="H7" s="83">
        <v>10238</v>
      </c>
      <c r="I7" s="83">
        <v>1</v>
      </c>
      <c r="J7" s="83" t="str">
        <f t="shared" si="1"/>
        <v>102381</v>
      </c>
      <c r="K7" s="83">
        <v>1601.434</v>
      </c>
    </row>
    <row r="8" spans="1:11" ht="15">
      <c r="A8" s="81">
        <v>10238</v>
      </c>
      <c r="B8" s="81">
        <v>2</v>
      </c>
      <c r="C8" s="81">
        <v>2.25</v>
      </c>
      <c r="D8" s="81">
        <v>2</v>
      </c>
      <c r="E8" s="81">
        <f t="shared" si="0"/>
        <v>1601.434</v>
      </c>
      <c r="H8" s="83">
        <v>10238</v>
      </c>
      <c r="I8" s="83">
        <v>2</v>
      </c>
      <c r="J8" s="83" t="str">
        <f t="shared" si="1"/>
        <v>102382</v>
      </c>
      <c r="K8" s="83">
        <v>1601.434</v>
      </c>
    </row>
    <row r="9" spans="1:11" ht="15">
      <c r="A9" s="81">
        <v>10238</v>
      </c>
      <c r="B9" s="81">
        <v>3</v>
      </c>
      <c r="C9" s="81">
        <v>2</v>
      </c>
      <c r="D9" s="81">
        <v>2</v>
      </c>
      <c r="E9" s="81">
        <f t="shared" si="0"/>
        <v>1601.434</v>
      </c>
      <c r="H9" s="83">
        <v>10238</v>
      </c>
      <c r="I9" s="83">
        <v>3</v>
      </c>
      <c r="J9" s="83" t="str">
        <f t="shared" si="1"/>
        <v>102383</v>
      </c>
      <c r="K9" s="83">
        <v>1601.434</v>
      </c>
    </row>
    <row r="10" spans="1:11" ht="15">
      <c r="A10" s="81">
        <v>10260</v>
      </c>
      <c r="B10" s="81">
        <v>1</v>
      </c>
      <c r="C10" s="81">
        <v>2.25</v>
      </c>
      <c r="D10" s="81">
        <v>2</v>
      </c>
      <c r="E10" s="81">
        <f t="shared" si="0"/>
        <v>1601.434</v>
      </c>
      <c r="H10" s="83">
        <v>10260</v>
      </c>
      <c r="I10" s="83">
        <v>1</v>
      </c>
      <c r="J10" s="83" t="str">
        <f t="shared" si="1"/>
        <v>102601</v>
      </c>
      <c r="K10" s="83">
        <v>1601.434</v>
      </c>
    </row>
    <row r="11" spans="1:11" ht="15">
      <c r="A11" s="81">
        <v>10260</v>
      </c>
      <c r="B11" s="81">
        <v>2</v>
      </c>
      <c r="C11" s="81">
        <v>1.5</v>
      </c>
      <c r="D11" s="81">
        <v>1</v>
      </c>
      <c r="E11" s="81">
        <f t="shared" si="0"/>
        <v>1601.434</v>
      </c>
      <c r="H11" s="83">
        <v>10260</v>
      </c>
      <c r="I11" s="83">
        <v>2</v>
      </c>
      <c r="J11" s="83" t="str">
        <f t="shared" si="1"/>
        <v>102602</v>
      </c>
      <c r="K11" s="83">
        <v>1601.434</v>
      </c>
    </row>
    <row r="12" spans="1:11" ht="15">
      <c r="A12" s="81">
        <v>10260</v>
      </c>
      <c r="B12" s="81">
        <v>3</v>
      </c>
      <c r="C12" s="81">
        <v>1.75</v>
      </c>
      <c r="D12" s="81">
        <v>2</v>
      </c>
      <c r="E12" s="81">
        <f t="shared" si="0"/>
        <v>1601.434</v>
      </c>
      <c r="H12" s="83">
        <v>10260</v>
      </c>
      <c r="I12" s="83">
        <v>3</v>
      </c>
      <c r="J12" s="83" t="str">
        <f t="shared" si="1"/>
        <v>102603</v>
      </c>
      <c r="K12" s="83">
        <v>1601.434</v>
      </c>
    </row>
    <row r="13" spans="1:11" ht="15">
      <c r="A13" s="81">
        <v>10323</v>
      </c>
      <c r="B13" s="81">
        <v>1</v>
      </c>
      <c r="C13" s="81">
        <v>1.5</v>
      </c>
      <c r="D13" s="81">
        <v>1</v>
      </c>
      <c r="E13" s="81">
        <f t="shared" si="0"/>
        <v>597.90200000000004</v>
      </c>
      <c r="H13" s="83">
        <v>10323</v>
      </c>
      <c r="I13" s="83">
        <v>1</v>
      </c>
      <c r="J13" s="83" t="str">
        <f t="shared" si="1"/>
        <v>103231</v>
      </c>
      <c r="K13" s="83">
        <v>597.90200000000004</v>
      </c>
    </row>
    <row r="14" spans="1:11" ht="15">
      <c r="A14" s="81">
        <v>10323</v>
      </c>
      <c r="B14" s="81">
        <v>2</v>
      </c>
      <c r="C14" s="81">
        <v>1.5</v>
      </c>
      <c r="D14" s="81">
        <v>1</v>
      </c>
      <c r="E14" s="81">
        <f t="shared" si="0"/>
        <v>597.90200000000004</v>
      </c>
      <c r="H14" s="83">
        <v>10323</v>
      </c>
      <c r="I14" s="83">
        <v>2</v>
      </c>
      <c r="J14" s="83" t="str">
        <f t="shared" si="1"/>
        <v>103232</v>
      </c>
      <c r="K14" s="83">
        <v>597.90200000000004</v>
      </c>
    </row>
    <row r="15" spans="1:11" ht="15">
      <c r="A15" s="81">
        <v>10323</v>
      </c>
      <c r="B15" s="81">
        <v>3</v>
      </c>
      <c r="C15" s="81">
        <v>1.5</v>
      </c>
      <c r="D15" s="81">
        <v>1</v>
      </c>
      <c r="E15" s="81">
        <f t="shared" si="0"/>
        <v>597.90200000000004</v>
      </c>
      <c r="H15" s="83">
        <v>10323</v>
      </c>
      <c r="I15" s="83">
        <v>3</v>
      </c>
      <c r="J15" s="83" t="str">
        <f t="shared" si="1"/>
        <v>103233</v>
      </c>
      <c r="K15" s="83">
        <v>597.90200000000004</v>
      </c>
    </row>
    <row r="16" spans="1:11" ht="15">
      <c r="A16" s="81">
        <v>10400</v>
      </c>
      <c r="B16" s="81">
        <v>1</v>
      </c>
      <c r="C16" s="81">
        <v>2.5</v>
      </c>
      <c r="D16" s="81">
        <v>1</v>
      </c>
      <c r="E16" s="81">
        <f t="shared" si="0"/>
        <v>686.91309999999999</v>
      </c>
      <c r="H16" s="83">
        <v>10400</v>
      </c>
      <c r="I16" s="83">
        <v>1</v>
      </c>
      <c r="J16" s="83" t="str">
        <f t="shared" si="1"/>
        <v>104001</v>
      </c>
      <c r="K16" s="83">
        <v>686.91309999999999</v>
      </c>
    </row>
    <row r="17" spans="1:11" ht="15">
      <c r="A17" s="81">
        <v>10400</v>
      </c>
      <c r="B17" s="81">
        <v>2</v>
      </c>
      <c r="C17" s="81">
        <v>1.79999995231628</v>
      </c>
      <c r="D17" s="81">
        <v>1</v>
      </c>
      <c r="E17" s="81">
        <f t="shared" si="0"/>
        <v>686.91309999999999</v>
      </c>
      <c r="H17" s="83">
        <v>10400</v>
      </c>
      <c r="I17" s="83">
        <v>2</v>
      </c>
      <c r="J17" s="83" t="str">
        <f t="shared" si="1"/>
        <v>104002</v>
      </c>
      <c r="K17" s="83">
        <v>686.91309999999999</v>
      </c>
    </row>
    <row r="18" spans="1:11" ht="15">
      <c r="A18" s="81">
        <v>10400</v>
      </c>
      <c r="B18" s="81">
        <v>3</v>
      </c>
      <c r="C18" s="81">
        <v>1.79999995231628</v>
      </c>
      <c r="D18" s="81">
        <v>1</v>
      </c>
      <c r="E18" s="81">
        <f t="shared" si="0"/>
        <v>686.91309999999999</v>
      </c>
      <c r="H18" s="83">
        <v>10400</v>
      </c>
      <c r="I18" s="83">
        <v>3</v>
      </c>
      <c r="J18" s="83" t="str">
        <f t="shared" si="1"/>
        <v>104003</v>
      </c>
      <c r="K18" s="83">
        <v>686.91309999999999</v>
      </c>
    </row>
    <row r="19" spans="1:11" ht="15">
      <c r="A19" s="81">
        <v>10477</v>
      </c>
      <c r="B19" s="81">
        <v>1</v>
      </c>
      <c r="C19" s="81">
        <v>2.25</v>
      </c>
      <c r="D19" s="81">
        <v>1</v>
      </c>
      <c r="E19" s="81">
        <f t="shared" si="0"/>
        <v>365.07810000000001</v>
      </c>
      <c r="H19" s="83">
        <v>10477</v>
      </c>
      <c r="I19" s="83">
        <v>1</v>
      </c>
      <c r="J19" s="83" t="str">
        <f t="shared" si="1"/>
        <v>104771</v>
      </c>
      <c r="K19" s="83">
        <v>365.07810000000001</v>
      </c>
    </row>
    <row r="20" spans="1:11" ht="15">
      <c r="A20" s="81">
        <v>10477</v>
      </c>
      <c r="B20" s="81">
        <v>2</v>
      </c>
      <c r="C20" s="81">
        <v>2</v>
      </c>
      <c r="D20" s="81">
        <v>1</v>
      </c>
      <c r="E20" s="81">
        <f t="shared" si="0"/>
        <v>365.07810000000001</v>
      </c>
      <c r="H20" s="83">
        <v>10477</v>
      </c>
      <c r="I20" s="83">
        <v>2</v>
      </c>
      <c r="J20" s="83" t="str">
        <f t="shared" si="1"/>
        <v>104772</v>
      </c>
      <c r="K20" s="83">
        <v>365.07810000000001</v>
      </c>
    </row>
    <row r="21" spans="1:11" ht="15">
      <c r="A21" s="81">
        <v>10477</v>
      </c>
      <c r="B21" s="81">
        <v>3</v>
      </c>
      <c r="C21" s="81">
        <v>2.5</v>
      </c>
      <c r="D21" s="81">
        <v>1</v>
      </c>
      <c r="E21" s="81">
        <f t="shared" si="0"/>
        <v>365.07810000000001</v>
      </c>
      <c r="H21" s="83">
        <v>10477</v>
      </c>
      <c r="I21" s="83">
        <v>3</v>
      </c>
      <c r="J21" s="83" t="str">
        <f t="shared" si="1"/>
        <v>104773</v>
      </c>
      <c r="K21" s="83">
        <v>365.07810000000001</v>
      </c>
    </row>
    <row r="22" spans="1:11" ht="15">
      <c r="A22" s="81">
        <v>10480</v>
      </c>
      <c r="B22" s="81">
        <v>1</v>
      </c>
      <c r="C22" s="81">
        <v>2</v>
      </c>
      <c r="D22" s="81">
        <v>1</v>
      </c>
      <c r="E22" s="81">
        <f t="shared" si="0"/>
        <v>2402.152</v>
      </c>
      <c r="H22" s="83">
        <v>10480</v>
      </c>
      <c r="I22" s="83">
        <v>1</v>
      </c>
      <c r="J22" s="83" t="str">
        <f t="shared" si="1"/>
        <v>104801</v>
      </c>
      <c r="K22" s="83">
        <v>2402.152</v>
      </c>
    </row>
    <row r="23" spans="1:11" ht="15">
      <c r="A23" s="81">
        <v>10480</v>
      </c>
      <c r="B23" s="81">
        <v>2</v>
      </c>
      <c r="C23" s="81">
        <v>2</v>
      </c>
      <c r="D23" s="81">
        <v>1</v>
      </c>
      <c r="E23" s="81">
        <f t="shared" si="0"/>
        <v>2402.152</v>
      </c>
      <c r="H23" s="83">
        <v>10480</v>
      </c>
      <c r="I23" s="83">
        <v>2</v>
      </c>
      <c r="J23" s="83" t="str">
        <f t="shared" si="1"/>
        <v>104802</v>
      </c>
      <c r="K23" s="83">
        <v>2402.152</v>
      </c>
    </row>
    <row r="24" spans="1:11" ht="15">
      <c r="A24" s="81">
        <v>10495</v>
      </c>
      <c r="B24" s="81">
        <v>1</v>
      </c>
      <c r="C24" s="81">
        <v>1.8999999761581401</v>
      </c>
      <c r="D24" s="81">
        <v>2</v>
      </c>
      <c r="E24" s="81">
        <f t="shared" si="0"/>
        <v>686.91300000000001</v>
      </c>
      <c r="H24" s="83">
        <v>10495</v>
      </c>
      <c r="I24" s="83">
        <v>1</v>
      </c>
      <c r="J24" s="83" t="str">
        <f t="shared" si="1"/>
        <v>104951</v>
      </c>
      <c r="K24" s="83">
        <v>686.91300000000001</v>
      </c>
    </row>
    <row r="25" spans="1:11" ht="15">
      <c r="A25" s="81">
        <v>10495</v>
      </c>
      <c r="B25" s="81">
        <v>2</v>
      </c>
      <c r="C25" s="81">
        <v>1.6000000238418599</v>
      </c>
      <c r="D25" s="81">
        <v>1</v>
      </c>
      <c r="E25" s="81">
        <f t="shared" si="0"/>
        <v>686.91300000000001</v>
      </c>
      <c r="H25" s="83">
        <v>10495</v>
      </c>
      <c r="I25" s="83">
        <v>2</v>
      </c>
      <c r="J25" s="83" t="str">
        <f t="shared" si="1"/>
        <v>104952</v>
      </c>
      <c r="K25" s="83">
        <v>686.91300000000001</v>
      </c>
    </row>
    <row r="26" spans="1:11" ht="15">
      <c r="A26" s="81">
        <v>10495</v>
      </c>
      <c r="B26" s="81">
        <v>3</v>
      </c>
      <c r="C26" s="81">
        <v>1.79999995231628</v>
      </c>
      <c r="D26" s="81">
        <v>2</v>
      </c>
      <c r="E26" s="81">
        <f t="shared" si="0"/>
        <v>686.91300000000001</v>
      </c>
      <c r="H26" s="83">
        <v>10495</v>
      </c>
      <c r="I26" s="83">
        <v>3</v>
      </c>
      <c r="J26" s="83" t="str">
        <f t="shared" si="1"/>
        <v>104953</v>
      </c>
      <c r="K26" s="83">
        <v>686.91300000000001</v>
      </c>
    </row>
    <row r="27" spans="1:11" ht="15">
      <c r="A27" s="81">
        <v>10519</v>
      </c>
      <c r="B27" s="81">
        <v>1</v>
      </c>
      <c r="C27" s="81">
        <v>2.4000000953674299</v>
      </c>
      <c r="D27" s="81">
        <v>2</v>
      </c>
      <c r="E27" s="81">
        <f t="shared" si="0"/>
        <v>365.07810000000001</v>
      </c>
      <c r="H27" s="83">
        <v>10519</v>
      </c>
      <c r="I27" s="83">
        <v>1</v>
      </c>
      <c r="J27" s="83" t="str">
        <f t="shared" si="1"/>
        <v>105191</v>
      </c>
      <c r="K27" s="83">
        <v>365.07810000000001</v>
      </c>
    </row>
    <row r="28" spans="1:11" ht="15">
      <c r="A28" s="81">
        <v>10519</v>
      </c>
      <c r="B28" s="81">
        <v>2</v>
      </c>
      <c r="C28" s="81">
        <v>2.5</v>
      </c>
      <c r="D28" s="81">
        <v>1</v>
      </c>
      <c r="E28" s="81">
        <f t="shared" si="0"/>
        <v>365.07810000000001</v>
      </c>
      <c r="H28" s="83">
        <v>10519</v>
      </c>
      <c r="I28" s="83">
        <v>2</v>
      </c>
      <c r="J28" s="83" t="str">
        <f t="shared" si="1"/>
        <v>105192</v>
      </c>
      <c r="K28" s="83">
        <v>365.07810000000001</v>
      </c>
    </row>
    <row r="29" spans="1:11" ht="15">
      <c r="A29" s="81">
        <v>10519</v>
      </c>
      <c r="B29" s="81">
        <v>3</v>
      </c>
      <c r="C29" s="81">
        <v>2.5</v>
      </c>
      <c r="D29" s="81">
        <v>1</v>
      </c>
      <c r="E29" s="81">
        <f t="shared" si="0"/>
        <v>365.07810000000001</v>
      </c>
      <c r="H29" s="83">
        <v>10519</v>
      </c>
      <c r="I29" s="83">
        <v>3</v>
      </c>
      <c r="J29" s="83" t="str">
        <f t="shared" si="1"/>
        <v>105193</v>
      </c>
      <c r="K29" s="83">
        <v>365.07810000000001</v>
      </c>
    </row>
    <row r="30" spans="1:11" ht="15">
      <c r="A30" s="81">
        <v>10587</v>
      </c>
      <c r="B30" s="81">
        <v>1</v>
      </c>
      <c r="C30" s="81">
        <v>2</v>
      </c>
      <c r="D30" s="81">
        <v>1</v>
      </c>
      <c r="E30" s="81">
        <f t="shared" si="0"/>
        <v>2402.152</v>
      </c>
      <c r="H30" s="83">
        <v>10587</v>
      </c>
      <c r="I30" s="83">
        <v>1</v>
      </c>
      <c r="J30" s="83" t="str">
        <f t="shared" si="1"/>
        <v>105871</v>
      </c>
      <c r="K30" s="83">
        <v>2402.152</v>
      </c>
    </row>
    <row r="31" spans="1:11" ht="15">
      <c r="A31" s="81">
        <v>10587</v>
      </c>
      <c r="B31" s="81">
        <v>2</v>
      </c>
      <c r="C31" s="81">
        <v>1.79999995231628</v>
      </c>
      <c r="D31" s="81">
        <v>1</v>
      </c>
      <c r="E31" s="81">
        <f t="shared" si="0"/>
        <v>2402.152</v>
      </c>
      <c r="H31" s="83">
        <v>10587</v>
      </c>
      <c r="I31" s="83">
        <v>2</v>
      </c>
      <c r="J31" s="83" t="str">
        <f t="shared" si="1"/>
        <v>105872</v>
      </c>
      <c r="K31" s="83">
        <v>2402.152</v>
      </c>
    </row>
    <row r="32" spans="1:11" ht="15">
      <c r="A32" s="81">
        <v>10614</v>
      </c>
      <c r="B32" s="81">
        <v>1</v>
      </c>
      <c r="C32" s="81">
        <v>2</v>
      </c>
      <c r="D32" s="81">
        <v>2</v>
      </c>
      <c r="E32" s="81">
        <f t="shared" si="0"/>
        <v>1601.434</v>
      </c>
      <c r="H32" s="83">
        <v>10614</v>
      </c>
      <c r="I32" s="83">
        <v>1</v>
      </c>
      <c r="J32" s="83" t="str">
        <f t="shared" si="1"/>
        <v>106141</v>
      </c>
      <c r="K32" s="83">
        <v>1601.434</v>
      </c>
    </row>
    <row r="33" spans="1:11" ht="15">
      <c r="A33" s="81">
        <v>10614</v>
      </c>
      <c r="B33" s="81">
        <v>2</v>
      </c>
      <c r="C33" s="81">
        <v>1.75</v>
      </c>
      <c r="D33" s="81">
        <v>1</v>
      </c>
      <c r="E33" s="81">
        <f t="shared" si="0"/>
        <v>1601.434</v>
      </c>
      <c r="H33" s="83">
        <v>10614</v>
      </c>
      <c r="I33" s="83">
        <v>2</v>
      </c>
      <c r="J33" s="83" t="str">
        <f t="shared" si="1"/>
        <v>106142</v>
      </c>
      <c r="K33" s="83">
        <v>1601.434</v>
      </c>
    </row>
    <row r="34" spans="1:11" ht="15">
      <c r="A34" s="81">
        <v>10614</v>
      </c>
      <c r="B34" s="81">
        <v>3</v>
      </c>
      <c r="C34" s="81">
        <v>2</v>
      </c>
      <c r="D34" s="81">
        <v>2</v>
      </c>
      <c r="E34" s="81">
        <f t="shared" si="0"/>
        <v>1601.434</v>
      </c>
      <c r="H34" s="83">
        <v>10614</v>
      </c>
      <c r="I34" s="83">
        <v>3</v>
      </c>
      <c r="J34" s="83" t="str">
        <f t="shared" si="1"/>
        <v>106143</v>
      </c>
      <c r="K34" s="83">
        <v>1601.434</v>
      </c>
    </row>
    <row r="35" spans="1:11" ht="15">
      <c r="A35" s="81">
        <v>10623</v>
      </c>
      <c r="B35" s="81">
        <v>1</v>
      </c>
      <c r="C35" s="81">
        <v>1.5</v>
      </c>
      <c r="D35" s="81">
        <v>1</v>
      </c>
      <c r="E35" s="81">
        <f t="shared" si="0"/>
        <v>365.07810000000001</v>
      </c>
      <c r="H35" s="83">
        <v>10623</v>
      </c>
      <c r="I35" s="83">
        <v>1</v>
      </c>
      <c r="J35" s="83" t="str">
        <f t="shared" si="1"/>
        <v>106231</v>
      </c>
      <c r="K35" s="83">
        <v>365.07810000000001</v>
      </c>
    </row>
    <row r="36" spans="1:11" ht="15">
      <c r="A36" s="81">
        <v>10623</v>
      </c>
      <c r="B36" s="81">
        <v>2</v>
      </c>
      <c r="C36" s="81">
        <v>1.5</v>
      </c>
      <c r="D36" s="81">
        <v>2</v>
      </c>
      <c r="E36" s="81">
        <f t="shared" si="0"/>
        <v>365.07810000000001</v>
      </c>
      <c r="H36" s="83">
        <v>10623</v>
      </c>
      <c r="I36" s="83">
        <v>2</v>
      </c>
      <c r="J36" s="83" t="str">
        <f t="shared" si="1"/>
        <v>106232</v>
      </c>
      <c r="K36" s="83">
        <v>365.07810000000001</v>
      </c>
    </row>
    <row r="37" spans="1:11" ht="15">
      <c r="A37" s="81">
        <v>10623</v>
      </c>
      <c r="B37" s="81">
        <v>3</v>
      </c>
      <c r="C37" s="81">
        <v>2.5</v>
      </c>
      <c r="D37" s="81">
        <v>2</v>
      </c>
      <c r="E37" s="81">
        <f t="shared" si="0"/>
        <v>365.07810000000001</v>
      </c>
      <c r="H37" s="83">
        <v>10623</v>
      </c>
      <c r="I37" s="83">
        <v>3</v>
      </c>
      <c r="J37" s="83" t="str">
        <f t="shared" si="1"/>
        <v>106233</v>
      </c>
      <c r="K37" s="83">
        <v>365.07810000000001</v>
      </c>
    </row>
    <row r="38" spans="1:11" ht="15">
      <c r="A38" s="81">
        <v>10805</v>
      </c>
      <c r="B38" s="81">
        <v>1</v>
      </c>
      <c r="C38" s="81">
        <v>2</v>
      </c>
      <c r="D38" s="81">
        <v>1</v>
      </c>
      <c r="E38" s="81">
        <f t="shared" si="0"/>
        <v>1601.434</v>
      </c>
      <c r="H38" s="83">
        <v>10805</v>
      </c>
      <c r="I38" s="83">
        <v>1</v>
      </c>
      <c r="J38" s="83" t="str">
        <f t="shared" si="1"/>
        <v>108051</v>
      </c>
      <c r="K38" s="83">
        <v>1601.434</v>
      </c>
    </row>
    <row r="39" spans="1:11" ht="15">
      <c r="A39" s="81">
        <v>10805</v>
      </c>
      <c r="B39" s="81">
        <v>2</v>
      </c>
      <c r="C39" s="81">
        <v>2</v>
      </c>
      <c r="D39" s="81">
        <v>1</v>
      </c>
      <c r="E39" s="81">
        <f t="shared" si="0"/>
        <v>1601.434</v>
      </c>
      <c r="H39" s="83">
        <v>10805</v>
      </c>
      <c r="I39" s="83">
        <v>2</v>
      </c>
      <c r="J39" s="83" t="str">
        <f t="shared" si="1"/>
        <v>108052</v>
      </c>
      <c r="K39" s="83">
        <v>1601.434</v>
      </c>
    </row>
    <row r="40" spans="1:11" ht="15">
      <c r="A40" s="81">
        <v>10805</v>
      </c>
      <c r="B40" s="81">
        <v>3</v>
      </c>
      <c r="C40" s="81">
        <v>1.75</v>
      </c>
      <c r="D40" s="81">
        <v>1</v>
      </c>
      <c r="E40" s="81">
        <f t="shared" si="0"/>
        <v>1601.434</v>
      </c>
      <c r="H40" s="83">
        <v>10805</v>
      </c>
      <c r="I40" s="83">
        <v>3</v>
      </c>
      <c r="J40" s="83" t="str">
        <f t="shared" si="1"/>
        <v>108053</v>
      </c>
      <c r="K40" s="83">
        <v>1601.434</v>
      </c>
    </row>
    <row r="41" spans="1:11" ht="15">
      <c r="A41" s="81">
        <v>10862</v>
      </c>
      <c r="B41" s="81">
        <v>1</v>
      </c>
      <c r="C41" s="81">
        <v>1.8999999761581401</v>
      </c>
      <c r="D41" s="81">
        <v>2</v>
      </c>
      <c r="E41" s="81">
        <f t="shared" si="0"/>
        <v>1030.3699999999999</v>
      </c>
      <c r="H41" s="83">
        <v>10862</v>
      </c>
      <c r="I41" s="83">
        <v>1</v>
      </c>
      <c r="J41" s="83" t="str">
        <f t="shared" si="1"/>
        <v>108621</v>
      </c>
      <c r="K41" s="83">
        <v>1030.3699999999999</v>
      </c>
    </row>
    <row r="42" spans="1:11" ht="15">
      <c r="A42" s="81">
        <v>10862</v>
      </c>
      <c r="B42" s="81">
        <v>2</v>
      </c>
      <c r="C42" s="81">
        <v>2</v>
      </c>
      <c r="D42" s="81">
        <v>2</v>
      </c>
      <c r="E42" s="81">
        <f t="shared" si="0"/>
        <v>1030.3699999999999</v>
      </c>
      <c r="H42" s="83">
        <v>10862</v>
      </c>
      <c r="I42" s="83">
        <v>2</v>
      </c>
      <c r="J42" s="83" t="str">
        <f t="shared" si="1"/>
        <v>108622</v>
      </c>
      <c r="K42" s="83">
        <v>1030.3699999999999</v>
      </c>
    </row>
    <row r="43" spans="1:11" ht="15">
      <c r="A43" s="81">
        <v>10871</v>
      </c>
      <c r="B43" s="81">
        <v>1</v>
      </c>
      <c r="C43" s="81">
        <v>2</v>
      </c>
      <c r="D43" s="81">
        <v>2</v>
      </c>
      <c r="E43" s="81">
        <f t="shared" si="0"/>
        <v>1601.4349999999999</v>
      </c>
      <c r="H43" s="83">
        <v>10871</v>
      </c>
      <c r="I43" s="83">
        <v>1</v>
      </c>
      <c r="J43" s="83" t="str">
        <f t="shared" si="1"/>
        <v>108711</v>
      </c>
      <c r="K43" s="83">
        <v>1601.4349999999999</v>
      </c>
    </row>
    <row r="44" spans="1:11" ht="15">
      <c r="A44" s="81">
        <v>10871</v>
      </c>
      <c r="B44" s="81">
        <v>2</v>
      </c>
      <c r="C44" s="81">
        <v>1.75</v>
      </c>
      <c r="D44" s="81">
        <v>2</v>
      </c>
      <c r="E44" s="81">
        <f t="shared" si="0"/>
        <v>1601.4349999999999</v>
      </c>
      <c r="H44" s="83">
        <v>10871</v>
      </c>
      <c r="I44" s="83">
        <v>2</v>
      </c>
      <c r="J44" s="83" t="str">
        <f t="shared" si="1"/>
        <v>108712</v>
      </c>
      <c r="K44" s="83">
        <v>1601.4349999999999</v>
      </c>
    </row>
    <row r="45" spans="1:11" ht="15">
      <c r="A45" s="81">
        <v>10871</v>
      </c>
      <c r="B45" s="81">
        <v>3</v>
      </c>
      <c r="C45" s="81">
        <v>2</v>
      </c>
      <c r="D45" s="81">
        <v>2</v>
      </c>
      <c r="E45" s="81">
        <f t="shared" si="0"/>
        <v>1601.4349999999999</v>
      </c>
      <c r="H45" s="83">
        <v>10871</v>
      </c>
      <c r="I45" s="83">
        <v>3</v>
      </c>
      <c r="J45" s="83" t="str">
        <f t="shared" si="1"/>
        <v>108713</v>
      </c>
      <c r="K45" s="83">
        <v>1601.4349999999999</v>
      </c>
    </row>
    <row r="46" spans="1:11" ht="15">
      <c r="A46" s="81">
        <v>10901</v>
      </c>
      <c r="B46" s="81">
        <v>1</v>
      </c>
      <c r="C46" s="81">
        <v>2.5</v>
      </c>
      <c r="D46" s="81">
        <v>1</v>
      </c>
      <c r="E46" s="81">
        <f t="shared" si="0"/>
        <v>686.91300000000001</v>
      </c>
      <c r="H46" s="83">
        <v>10901</v>
      </c>
      <c r="I46" s="83">
        <v>1</v>
      </c>
      <c r="J46" s="83" t="str">
        <f t="shared" si="1"/>
        <v>109011</v>
      </c>
      <c r="K46" s="83">
        <v>686.91300000000001</v>
      </c>
    </row>
    <row r="47" spans="1:11" ht="15">
      <c r="A47" s="81">
        <v>10901</v>
      </c>
      <c r="B47" s="81">
        <v>2</v>
      </c>
      <c r="C47" s="81">
        <v>1.25</v>
      </c>
      <c r="D47" s="81">
        <v>1</v>
      </c>
      <c r="E47" s="81">
        <f t="shared" si="0"/>
        <v>686.91300000000001</v>
      </c>
      <c r="H47" s="83">
        <v>10901</v>
      </c>
      <c r="I47" s="83">
        <v>2</v>
      </c>
      <c r="J47" s="83" t="str">
        <f t="shared" si="1"/>
        <v>109012</v>
      </c>
      <c r="K47" s="83">
        <v>686.91300000000001</v>
      </c>
    </row>
    <row r="48" spans="1:11" ht="15">
      <c r="A48" s="81">
        <v>10901</v>
      </c>
      <c r="B48" s="81">
        <v>3</v>
      </c>
      <c r="C48" s="81">
        <v>1.5</v>
      </c>
      <c r="D48" s="81">
        <v>1</v>
      </c>
      <c r="E48" s="81">
        <f t="shared" si="0"/>
        <v>686.91300000000001</v>
      </c>
      <c r="H48" s="83">
        <v>10901</v>
      </c>
      <c r="I48" s="83">
        <v>3</v>
      </c>
      <c r="J48" s="83" t="str">
        <f t="shared" si="1"/>
        <v>109013</v>
      </c>
      <c r="K48" s="83">
        <v>686.91300000000001</v>
      </c>
    </row>
    <row r="49" spans="1:11" ht="15">
      <c r="A49" s="81">
        <v>10910</v>
      </c>
      <c r="B49" s="81">
        <v>1</v>
      </c>
      <c r="D49" s="81">
        <v>1</v>
      </c>
      <c r="E49" s="81">
        <f t="shared" si="0"/>
        <v>1030.3699999999999</v>
      </c>
      <c r="H49" s="83">
        <v>10910</v>
      </c>
      <c r="I49" s="83">
        <v>1</v>
      </c>
      <c r="J49" s="83" t="str">
        <f t="shared" si="1"/>
        <v>109101</v>
      </c>
      <c r="K49" s="83">
        <v>1030.3699999999999</v>
      </c>
    </row>
    <row r="50" spans="1:11" ht="15">
      <c r="A50" s="81">
        <v>10910</v>
      </c>
      <c r="B50" s="81">
        <v>2</v>
      </c>
      <c r="C50" s="81">
        <v>3.4000000953674299</v>
      </c>
      <c r="D50" s="81">
        <v>1</v>
      </c>
      <c r="E50" s="81">
        <f t="shared" si="0"/>
        <v>1030.3699999999999</v>
      </c>
      <c r="H50" s="83">
        <v>10910</v>
      </c>
      <c r="I50" s="83">
        <v>2</v>
      </c>
      <c r="J50" s="83" t="str">
        <f t="shared" si="1"/>
        <v>109102</v>
      </c>
      <c r="K50" s="83">
        <v>1030.3699999999999</v>
      </c>
    </row>
    <row r="51" spans="1:11" ht="15">
      <c r="A51" s="81">
        <v>10996</v>
      </c>
      <c r="B51" s="81">
        <v>1</v>
      </c>
      <c r="C51" s="81">
        <v>2</v>
      </c>
      <c r="D51" s="81">
        <v>1</v>
      </c>
      <c r="E51" s="81">
        <f t="shared" si="0"/>
        <v>597.90210000000002</v>
      </c>
      <c r="H51" s="83">
        <v>10996</v>
      </c>
      <c r="I51" s="83">
        <v>1</v>
      </c>
      <c r="J51" s="83" t="str">
        <f t="shared" si="1"/>
        <v>109961</v>
      </c>
      <c r="K51" s="83">
        <v>597.90210000000002</v>
      </c>
    </row>
    <row r="52" spans="1:11" ht="15">
      <c r="A52" s="81">
        <v>10996</v>
      </c>
      <c r="B52" s="81">
        <v>2</v>
      </c>
      <c r="C52" s="81">
        <v>2</v>
      </c>
      <c r="D52" s="81">
        <v>1</v>
      </c>
      <c r="E52" s="81">
        <f t="shared" si="0"/>
        <v>597.90210000000002</v>
      </c>
      <c r="H52" s="83">
        <v>10996</v>
      </c>
      <c r="I52" s="83">
        <v>2</v>
      </c>
      <c r="J52" s="83" t="str">
        <f t="shared" si="1"/>
        <v>109962</v>
      </c>
      <c r="K52" s="83">
        <v>597.90210000000002</v>
      </c>
    </row>
    <row r="53" spans="1:11" ht="15">
      <c r="A53" s="81">
        <v>10996</v>
      </c>
      <c r="B53" s="81">
        <v>3</v>
      </c>
      <c r="C53" s="81">
        <v>2</v>
      </c>
      <c r="D53" s="81">
        <v>1</v>
      </c>
      <c r="E53" s="81">
        <f t="shared" si="0"/>
        <v>597.90210000000002</v>
      </c>
      <c r="H53" s="83">
        <v>10996</v>
      </c>
      <c r="I53" s="83">
        <v>3</v>
      </c>
      <c r="J53" s="83" t="str">
        <f t="shared" si="1"/>
        <v>109963</v>
      </c>
      <c r="K53" s="83">
        <v>597.90210000000002</v>
      </c>
    </row>
    <row r="54" spans="1:11" ht="15">
      <c r="A54" s="81">
        <v>11005</v>
      </c>
      <c r="B54" s="81">
        <v>1</v>
      </c>
      <c r="C54" s="81">
        <v>1.5</v>
      </c>
      <c r="D54" s="81">
        <v>1</v>
      </c>
      <c r="E54" s="81">
        <f t="shared" si="0"/>
        <v>597.90210000000002</v>
      </c>
      <c r="H54" s="83">
        <v>11005</v>
      </c>
      <c r="I54" s="83">
        <v>1</v>
      </c>
      <c r="J54" s="83" t="str">
        <f t="shared" si="1"/>
        <v>110051</v>
      </c>
      <c r="K54" s="83">
        <v>597.90210000000002</v>
      </c>
    </row>
    <row r="55" spans="1:11" ht="15">
      <c r="A55" s="81">
        <v>11005</v>
      </c>
      <c r="B55" s="81">
        <v>2</v>
      </c>
      <c r="C55" s="81">
        <v>3.5</v>
      </c>
      <c r="D55" s="81">
        <v>1</v>
      </c>
      <c r="E55" s="81">
        <f t="shared" si="0"/>
        <v>597.90210000000002</v>
      </c>
      <c r="H55" s="83">
        <v>11005</v>
      </c>
      <c r="I55" s="83">
        <v>2</v>
      </c>
      <c r="J55" s="83" t="str">
        <f t="shared" si="1"/>
        <v>110052</v>
      </c>
      <c r="K55" s="83">
        <v>597.90210000000002</v>
      </c>
    </row>
    <row r="56" spans="1:11" ht="15">
      <c r="A56" s="81">
        <v>11005</v>
      </c>
      <c r="B56" s="81">
        <v>3</v>
      </c>
      <c r="C56" s="81">
        <v>2</v>
      </c>
      <c r="D56" s="81">
        <v>1</v>
      </c>
      <c r="E56" s="81">
        <f t="shared" si="0"/>
        <v>597.90210000000002</v>
      </c>
      <c r="H56" s="83">
        <v>11005</v>
      </c>
      <c r="I56" s="83">
        <v>3</v>
      </c>
      <c r="J56" s="83" t="str">
        <f t="shared" si="1"/>
        <v>110053</v>
      </c>
      <c r="K56" s="83">
        <v>597.90210000000002</v>
      </c>
    </row>
    <row r="57" spans="1:11" ht="15">
      <c r="A57" s="81">
        <v>11263</v>
      </c>
      <c r="B57" s="81">
        <v>1</v>
      </c>
      <c r="C57" s="81">
        <v>3</v>
      </c>
      <c r="D57" s="81">
        <v>1</v>
      </c>
      <c r="E57" s="81">
        <f t="shared" si="0"/>
        <v>686.91300000000001</v>
      </c>
      <c r="H57" s="83">
        <v>11263</v>
      </c>
      <c r="I57" s="83">
        <v>1</v>
      </c>
      <c r="J57" s="83" t="str">
        <f t="shared" si="1"/>
        <v>112631</v>
      </c>
      <c r="K57" s="83">
        <v>686.91300000000001</v>
      </c>
    </row>
    <row r="58" spans="1:11" ht="15">
      <c r="A58" s="81">
        <v>11263</v>
      </c>
      <c r="B58" s="81">
        <v>2</v>
      </c>
      <c r="C58" s="81">
        <v>3</v>
      </c>
      <c r="D58" s="81">
        <v>1</v>
      </c>
      <c r="E58" s="81">
        <f t="shared" si="0"/>
        <v>686.91300000000001</v>
      </c>
      <c r="H58" s="83">
        <v>11263</v>
      </c>
      <c r="I58" s="83">
        <v>2</v>
      </c>
      <c r="J58" s="83" t="str">
        <f t="shared" si="1"/>
        <v>112632</v>
      </c>
      <c r="K58" s="83">
        <v>686.91300000000001</v>
      </c>
    </row>
    <row r="59" spans="1:11" ht="15">
      <c r="A59" s="81">
        <v>11263</v>
      </c>
      <c r="B59" s="81">
        <v>3</v>
      </c>
      <c r="C59" s="81">
        <v>3</v>
      </c>
      <c r="D59" s="81">
        <v>1</v>
      </c>
      <c r="E59" s="81">
        <f t="shared" si="0"/>
        <v>686.91300000000001</v>
      </c>
      <c r="H59" s="83">
        <v>11263</v>
      </c>
      <c r="I59" s="83">
        <v>3</v>
      </c>
      <c r="J59" s="83" t="str">
        <f t="shared" si="1"/>
        <v>112633</v>
      </c>
      <c r="K59" s="83">
        <v>686.91300000000001</v>
      </c>
    </row>
    <row r="60" spans="1:11" ht="15">
      <c r="A60" s="81">
        <v>11271</v>
      </c>
      <c r="B60" s="81">
        <v>1</v>
      </c>
      <c r="C60" s="81">
        <v>1.8999999761581401</v>
      </c>
      <c r="D60" s="81">
        <v>1</v>
      </c>
      <c r="E60" s="81">
        <f t="shared" si="0"/>
        <v>365.07810000000001</v>
      </c>
      <c r="H60" s="83">
        <v>11271</v>
      </c>
      <c r="I60" s="83">
        <v>1</v>
      </c>
      <c r="J60" s="83" t="str">
        <f t="shared" si="1"/>
        <v>112711</v>
      </c>
      <c r="K60" s="83">
        <v>365.07810000000001</v>
      </c>
    </row>
    <row r="61" spans="1:11" ht="15">
      <c r="A61" s="81">
        <v>11271</v>
      </c>
      <c r="B61" s="81">
        <v>2</v>
      </c>
      <c r="C61" s="81">
        <v>3.0999999046325701</v>
      </c>
      <c r="D61" s="81">
        <v>1</v>
      </c>
      <c r="E61" s="81">
        <f t="shared" si="0"/>
        <v>365.07810000000001</v>
      </c>
      <c r="H61" s="83">
        <v>11271</v>
      </c>
      <c r="I61" s="83">
        <v>2</v>
      </c>
      <c r="J61" s="83" t="str">
        <f t="shared" si="1"/>
        <v>112712</v>
      </c>
      <c r="K61" s="83">
        <v>365.07810000000001</v>
      </c>
    </row>
    <row r="62" spans="1:11" ht="15">
      <c r="A62" s="81">
        <v>11271</v>
      </c>
      <c r="B62" s="81">
        <v>3</v>
      </c>
      <c r="C62" s="81">
        <v>1.79999995231628</v>
      </c>
      <c r="D62" s="81">
        <v>1</v>
      </c>
      <c r="E62" s="81">
        <f t="shared" si="0"/>
        <v>365.07810000000001</v>
      </c>
      <c r="H62" s="83">
        <v>11271</v>
      </c>
      <c r="I62" s="83">
        <v>3</v>
      </c>
      <c r="J62" s="83" t="str">
        <f t="shared" si="1"/>
        <v>112713</v>
      </c>
      <c r="K62" s="83">
        <v>365.07810000000001</v>
      </c>
    </row>
    <row r="63" spans="1:11" ht="15">
      <c r="A63" s="81">
        <v>11290</v>
      </c>
      <c r="B63" s="81">
        <v>1</v>
      </c>
      <c r="C63" s="81">
        <v>5</v>
      </c>
      <c r="D63" s="81">
        <v>1</v>
      </c>
      <c r="E63" s="81">
        <f t="shared" si="0"/>
        <v>896.85310000000004</v>
      </c>
      <c r="H63" s="83">
        <v>11290</v>
      </c>
      <c r="I63" s="83">
        <v>1</v>
      </c>
      <c r="J63" s="83" t="str">
        <f t="shared" si="1"/>
        <v>112901</v>
      </c>
      <c r="K63" s="83">
        <v>896.85310000000004</v>
      </c>
    </row>
    <row r="64" spans="1:11" ht="15">
      <c r="A64" s="81">
        <v>11290</v>
      </c>
      <c r="B64" s="81">
        <v>2</v>
      </c>
      <c r="C64" s="81">
        <v>2.5</v>
      </c>
      <c r="D64" s="81">
        <v>1</v>
      </c>
      <c r="E64" s="81">
        <f t="shared" si="0"/>
        <v>896.85310000000004</v>
      </c>
      <c r="H64" s="83">
        <v>11290</v>
      </c>
      <c r="I64" s="83">
        <v>2</v>
      </c>
      <c r="J64" s="83" t="str">
        <f t="shared" si="1"/>
        <v>112902</v>
      </c>
      <c r="K64" s="83">
        <v>896.85310000000004</v>
      </c>
    </row>
    <row r="65" spans="1:11" ht="15">
      <c r="A65" s="81">
        <v>11297</v>
      </c>
      <c r="B65" s="81">
        <v>1</v>
      </c>
      <c r="C65" s="81">
        <v>2.4000000953674299</v>
      </c>
      <c r="D65" s="81">
        <v>1</v>
      </c>
      <c r="E65" s="81">
        <f t="shared" si="0"/>
        <v>1601.4349999999999</v>
      </c>
      <c r="H65" s="83">
        <v>11297</v>
      </c>
      <c r="I65" s="83">
        <v>1</v>
      </c>
      <c r="J65" s="83" t="str">
        <f t="shared" si="1"/>
        <v>112971</v>
      </c>
      <c r="K65" s="83">
        <v>1601.4349999999999</v>
      </c>
    </row>
    <row r="66" spans="1:11" ht="15">
      <c r="A66" s="81">
        <v>11297</v>
      </c>
      <c r="B66" s="81">
        <v>2</v>
      </c>
      <c r="C66" s="81">
        <v>2.4000000953674299</v>
      </c>
      <c r="D66" s="81">
        <v>1</v>
      </c>
      <c r="E66" s="81">
        <f t="shared" si="0"/>
        <v>1601.4349999999999</v>
      </c>
      <c r="H66" s="83">
        <v>11297</v>
      </c>
      <c r="I66" s="83">
        <v>2</v>
      </c>
      <c r="J66" s="83" t="str">
        <f t="shared" si="1"/>
        <v>112972</v>
      </c>
      <c r="K66" s="83">
        <v>1601.4349999999999</v>
      </c>
    </row>
    <row r="67" spans="1:11" ht="15">
      <c r="A67" s="81">
        <v>11297</v>
      </c>
      <c r="B67" s="81">
        <v>3</v>
      </c>
      <c r="C67" s="81">
        <v>2.7999999523162802</v>
      </c>
      <c r="D67" s="81">
        <v>2</v>
      </c>
      <c r="E67" s="81">
        <f t="shared" ref="E67:E130" si="2">VLOOKUP(A67&amp;B67,$J$2:$K$553,2,FALSE)</f>
        <v>1601.4349999999999</v>
      </c>
      <c r="H67" s="83">
        <v>11297</v>
      </c>
      <c r="I67" s="83">
        <v>3</v>
      </c>
      <c r="J67" s="83" t="str">
        <f t="shared" ref="J67:J130" si="3">H67&amp;I67</f>
        <v>112973</v>
      </c>
      <c r="K67" s="83">
        <v>1601.4349999999999</v>
      </c>
    </row>
    <row r="68" spans="1:11" ht="15">
      <c r="A68" s="81">
        <v>11345</v>
      </c>
      <c r="B68" s="81">
        <v>1</v>
      </c>
      <c r="C68" s="81">
        <v>1.75</v>
      </c>
      <c r="D68" s="81">
        <v>1</v>
      </c>
      <c r="E68" s="81">
        <f t="shared" si="2"/>
        <v>365.07810000000001</v>
      </c>
      <c r="H68" s="83">
        <v>11345</v>
      </c>
      <c r="I68" s="83">
        <v>1</v>
      </c>
      <c r="J68" s="83" t="str">
        <f t="shared" si="3"/>
        <v>113451</v>
      </c>
      <c r="K68" s="83">
        <v>365.07810000000001</v>
      </c>
    </row>
    <row r="69" spans="1:11" ht="15">
      <c r="A69" s="81">
        <v>11345</v>
      </c>
      <c r="B69" s="81">
        <v>2</v>
      </c>
      <c r="C69" s="81">
        <v>2.5</v>
      </c>
      <c r="D69" s="81">
        <v>1</v>
      </c>
      <c r="E69" s="81">
        <f t="shared" si="2"/>
        <v>365.07810000000001</v>
      </c>
      <c r="H69" s="83">
        <v>11345</v>
      </c>
      <c r="I69" s="83">
        <v>2</v>
      </c>
      <c r="J69" s="83" t="str">
        <f t="shared" si="3"/>
        <v>113452</v>
      </c>
      <c r="K69" s="83">
        <v>365.07810000000001</v>
      </c>
    </row>
    <row r="70" spans="1:11" ht="15">
      <c r="A70" s="81">
        <v>11345</v>
      </c>
      <c r="B70" s="81">
        <v>3</v>
      </c>
      <c r="C70" s="81">
        <v>1.6000000238418599</v>
      </c>
      <c r="D70" s="81">
        <v>1</v>
      </c>
      <c r="E70" s="81">
        <f t="shared" si="2"/>
        <v>365.07810000000001</v>
      </c>
      <c r="H70" s="83">
        <v>11345</v>
      </c>
      <c r="I70" s="83">
        <v>3</v>
      </c>
      <c r="J70" s="83" t="str">
        <f t="shared" si="3"/>
        <v>113453</v>
      </c>
      <c r="K70" s="83">
        <v>365.07810000000001</v>
      </c>
    </row>
    <row r="71" spans="1:11" ht="15">
      <c r="A71" s="81">
        <v>11413</v>
      </c>
      <c r="B71" s="81">
        <v>1</v>
      </c>
      <c r="C71" s="81">
        <v>1.75</v>
      </c>
      <c r="D71" s="81">
        <v>2</v>
      </c>
      <c r="E71" s="81">
        <f t="shared" si="2"/>
        <v>2402.152</v>
      </c>
      <c r="H71" s="83">
        <v>11413</v>
      </c>
      <c r="I71" s="83">
        <v>1</v>
      </c>
      <c r="J71" s="83" t="str">
        <f t="shared" si="3"/>
        <v>114131</v>
      </c>
      <c r="K71" s="83">
        <v>2402.152</v>
      </c>
    </row>
    <row r="72" spans="1:11" ht="15">
      <c r="A72" s="81">
        <v>11413</v>
      </c>
      <c r="B72" s="81">
        <v>2</v>
      </c>
      <c r="C72" s="81">
        <v>1.75</v>
      </c>
      <c r="D72" s="81">
        <v>2</v>
      </c>
      <c r="E72" s="81">
        <f t="shared" si="2"/>
        <v>2402.152</v>
      </c>
      <c r="H72" s="83">
        <v>11413</v>
      </c>
      <c r="I72" s="83">
        <v>2</v>
      </c>
      <c r="J72" s="83" t="str">
        <f t="shared" si="3"/>
        <v>114132</v>
      </c>
      <c r="K72" s="83">
        <v>2402.152</v>
      </c>
    </row>
    <row r="73" spans="1:11" ht="15">
      <c r="A73" s="81">
        <v>11537</v>
      </c>
      <c r="B73" s="81">
        <v>1</v>
      </c>
      <c r="C73" s="81">
        <v>2.5</v>
      </c>
      <c r="D73" s="81">
        <v>1</v>
      </c>
      <c r="E73" s="81">
        <f t="shared" si="2"/>
        <v>597.90210000000002</v>
      </c>
      <c r="H73" s="83">
        <v>11537</v>
      </c>
      <c r="I73" s="83">
        <v>1</v>
      </c>
      <c r="J73" s="83" t="str">
        <f t="shared" si="3"/>
        <v>115371</v>
      </c>
      <c r="K73" s="83">
        <v>597.90210000000002</v>
      </c>
    </row>
    <row r="74" spans="1:11" ht="15">
      <c r="A74" s="81">
        <v>11537</v>
      </c>
      <c r="B74" s="81">
        <v>2</v>
      </c>
      <c r="C74" s="81">
        <v>2</v>
      </c>
      <c r="D74" s="81">
        <v>1</v>
      </c>
      <c r="E74" s="81">
        <f t="shared" si="2"/>
        <v>597.90210000000002</v>
      </c>
      <c r="H74" s="83">
        <v>11537</v>
      </c>
      <c r="I74" s="83">
        <v>2</v>
      </c>
      <c r="J74" s="83" t="str">
        <f t="shared" si="3"/>
        <v>115372</v>
      </c>
      <c r="K74" s="83">
        <v>597.90210000000002</v>
      </c>
    </row>
    <row r="75" spans="1:11" ht="15">
      <c r="A75" s="81">
        <v>11537</v>
      </c>
      <c r="B75" s="81">
        <v>3</v>
      </c>
      <c r="C75" s="81">
        <v>2.5</v>
      </c>
      <c r="D75" s="81">
        <v>1</v>
      </c>
      <c r="E75" s="81">
        <f t="shared" si="2"/>
        <v>597.90210000000002</v>
      </c>
      <c r="H75" s="83">
        <v>11537</v>
      </c>
      <c r="I75" s="83">
        <v>3</v>
      </c>
      <c r="J75" s="83" t="str">
        <f t="shared" si="3"/>
        <v>115373</v>
      </c>
      <c r="K75" s="83">
        <v>597.90210000000002</v>
      </c>
    </row>
    <row r="76" spans="1:11" ht="15">
      <c r="A76" s="81">
        <v>11598</v>
      </c>
      <c r="B76" s="81">
        <v>1</v>
      </c>
      <c r="C76" s="81">
        <v>2.5</v>
      </c>
      <c r="D76" s="81">
        <v>2</v>
      </c>
      <c r="E76" s="81">
        <f t="shared" si="2"/>
        <v>1601.4349999999999</v>
      </c>
      <c r="H76" s="83">
        <v>11598</v>
      </c>
      <c r="I76" s="83">
        <v>1</v>
      </c>
      <c r="J76" s="83" t="str">
        <f t="shared" si="3"/>
        <v>115981</v>
      </c>
      <c r="K76" s="83">
        <v>1601.4349999999999</v>
      </c>
    </row>
    <row r="77" spans="1:11" ht="15">
      <c r="A77" s="81">
        <v>11598</v>
      </c>
      <c r="B77" s="81">
        <v>2</v>
      </c>
      <c r="C77" s="81">
        <v>3</v>
      </c>
      <c r="D77" s="81">
        <v>2</v>
      </c>
      <c r="E77" s="81">
        <f t="shared" si="2"/>
        <v>1601.4349999999999</v>
      </c>
      <c r="H77" s="83">
        <v>11598</v>
      </c>
      <c r="I77" s="83">
        <v>2</v>
      </c>
      <c r="J77" s="83" t="str">
        <f t="shared" si="3"/>
        <v>115982</v>
      </c>
      <c r="K77" s="83">
        <v>1601.4349999999999</v>
      </c>
    </row>
    <row r="78" spans="1:11" ht="15">
      <c r="A78" s="81">
        <v>11598</v>
      </c>
      <c r="B78" s="81">
        <v>3</v>
      </c>
      <c r="C78" s="81">
        <v>2.25</v>
      </c>
      <c r="D78" s="81">
        <v>2</v>
      </c>
      <c r="E78" s="81">
        <f t="shared" si="2"/>
        <v>1601.4349999999999</v>
      </c>
      <c r="H78" s="83">
        <v>11598</v>
      </c>
      <c r="I78" s="83">
        <v>3</v>
      </c>
      <c r="J78" s="83" t="str">
        <f t="shared" si="3"/>
        <v>115983</v>
      </c>
      <c r="K78" s="83">
        <v>1601.4349999999999</v>
      </c>
    </row>
    <row r="79" spans="1:11" ht="15">
      <c r="A79" s="81">
        <v>11879</v>
      </c>
      <c r="B79" s="81">
        <v>1</v>
      </c>
      <c r="C79" s="81">
        <v>2.5</v>
      </c>
      <c r="D79" s="81">
        <v>2</v>
      </c>
      <c r="E79" s="81">
        <f t="shared" si="2"/>
        <v>2402.152</v>
      </c>
      <c r="H79" s="83">
        <v>11879</v>
      </c>
      <c r="I79" s="83">
        <v>1</v>
      </c>
      <c r="J79" s="83" t="str">
        <f t="shared" si="3"/>
        <v>118791</v>
      </c>
      <c r="K79" s="83">
        <v>2402.152</v>
      </c>
    </row>
    <row r="80" spans="1:11" ht="15">
      <c r="A80" s="81">
        <v>11879</v>
      </c>
      <c r="B80" s="81">
        <v>2</v>
      </c>
      <c r="C80" s="81">
        <v>2.75</v>
      </c>
      <c r="D80" s="81">
        <v>2</v>
      </c>
      <c r="E80" s="81">
        <f t="shared" si="2"/>
        <v>2402.152</v>
      </c>
      <c r="H80" s="83">
        <v>11879</v>
      </c>
      <c r="I80" s="83">
        <v>2</v>
      </c>
      <c r="J80" s="83" t="str">
        <f t="shared" si="3"/>
        <v>118792</v>
      </c>
      <c r="K80" s="83">
        <v>2402.152</v>
      </c>
    </row>
    <row r="81" spans="1:11" ht="15">
      <c r="A81" s="81">
        <v>11887</v>
      </c>
      <c r="B81" s="81">
        <v>1</v>
      </c>
      <c r="C81" s="81">
        <v>2</v>
      </c>
      <c r="D81" s="81">
        <v>2</v>
      </c>
      <c r="E81" s="81">
        <f t="shared" si="2"/>
        <v>1601.4349999999999</v>
      </c>
      <c r="H81" s="83">
        <v>11887</v>
      </c>
      <c r="I81" s="83">
        <v>1</v>
      </c>
      <c r="J81" s="83" t="str">
        <f t="shared" si="3"/>
        <v>118871</v>
      </c>
      <c r="K81" s="83">
        <v>1601.4349999999999</v>
      </c>
    </row>
    <row r="82" spans="1:11" ht="15">
      <c r="A82" s="81">
        <v>11887</v>
      </c>
      <c r="B82" s="81">
        <v>2</v>
      </c>
      <c r="C82" s="81">
        <v>2.75</v>
      </c>
      <c r="D82" s="81">
        <v>1</v>
      </c>
      <c r="E82" s="81">
        <f t="shared" si="2"/>
        <v>1601.4349999999999</v>
      </c>
      <c r="H82" s="83">
        <v>11887</v>
      </c>
      <c r="I82" s="83">
        <v>2</v>
      </c>
      <c r="J82" s="83" t="str">
        <f t="shared" si="3"/>
        <v>118872</v>
      </c>
      <c r="K82" s="83">
        <v>1601.4349999999999</v>
      </c>
    </row>
    <row r="83" spans="1:11" ht="15">
      <c r="A83" s="81">
        <v>11887</v>
      </c>
      <c r="B83" s="81">
        <v>3</v>
      </c>
      <c r="C83" s="81">
        <v>1.6000000238418599</v>
      </c>
      <c r="D83" s="81">
        <v>1</v>
      </c>
      <c r="E83" s="81">
        <f t="shared" si="2"/>
        <v>1601.4349999999999</v>
      </c>
      <c r="H83" s="83">
        <v>11887</v>
      </c>
      <c r="I83" s="83">
        <v>3</v>
      </c>
      <c r="J83" s="83" t="str">
        <f t="shared" si="3"/>
        <v>118873</v>
      </c>
      <c r="K83" s="83">
        <v>1601.4349999999999</v>
      </c>
    </row>
    <row r="84" spans="1:11" ht="15">
      <c r="A84" s="81">
        <v>11930</v>
      </c>
      <c r="B84" s="81">
        <v>1</v>
      </c>
      <c r="C84" s="81">
        <v>2</v>
      </c>
      <c r="D84" s="81">
        <v>2</v>
      </c>
      <c r="E84" s="81">
        <f t="shared" si="2"/>
        <v>2402.152</v>
      </c>
      <c r="H84" s="83">
        <v>11930</v>
      </c>
      <c r="I84" s="83">
        <v>1</v>
      </c>
      <c r="J84" s="83" t="str">
        <f t="shared" si="3"/>
        <v>119301</v>
      </c>
      <c r="K84" s="83">
        <v>2402.152</v>
      </c>
    </row>
    <row r="85" spans="1:11" ht="15">
      <c r="A85" s="81">
        <v>11930</v>
      </c>
      <c r="B85" s="81">
        <v>2</v>
      </c>
      <c r="C85" s="81">
        <v>2</v>
      </c>
      <c r="D85" s="81">
        <v>2</v>
      </c>
      <c r="E85" s="81">
        <f t="shared" si="2"/>
        <v>2402.152</v>
      </c>
      <c r="H85" s="83">
        <v>11930</v>
      </c>
      <c r="I85" s="83">
        <v>2</v>
      </c>
      <c r="J85" s="83" t="str">
        <f t="shared" si="3"/>
        <v>119302</v>
      </c>
      <c r="K85" s="83">
        <v>2402.152</v>
      </c>
    </row>
    <row r="86" spans="1:11" ht="15">
      <c r="A86" s="81">
        <v>11949</v>
      </c>
      <c r="B86" s="81">
        <v>1</v>
      </c>
      <c r="C86" s="81">
        <v>4</v>
      </c>
      <c r="D86" s="81">
        <v>2</v>
      </c>
      <c r="E86" s="81">
        <f t="shared" si="2"/>
        <v>1601.434</v>
      </c>
      <c r="H86" s="83">
        <v>11949</v>
      </c>
      <c r="I86" s="83">
        <v>1</v>
      </c>
      <c r="J86" s="83" t="str">
        <f t="shared" si="3"/>
        <v>119491</v>
      </c>
      <c r="K86" s="83">
        <v>1601.434</v>
      </c>
    </row>
    <row r="87" spans="1:11" ht="15">
      <c r="A87" s="81">
        <v>11949</v>
      </c>
      <c r="B87" s="81">
        <v>2</v>
      </c>
      <c r="C87" s="81">
        <v>2.5</v>
      </c>
      <c r="D87" s="81">
        <v>2</v>
      </c>
      <c r="E87" s="81">
        <f t="shared" si="2"/>
        <v>1601.434</v>
      </c>
      <c r="H87" s="83">
        <v>11949</v>
      </c>
      <c r="I87" s="83">
        <v>2</v>
      </c>
      <c r="J87" s="83" t="str">
        <f t="shared" si="3"/>
        <v>119492</v>
      </c>
      <c r="K87" s="83">
        <v>1601.434</v>
      </c>
    </row>
    <row r="88" spans="1:11" ht="15">
      <c r="A88" s="81">
        <v>11949</v>
      </c>
      <c r="B88" s="81">
        <v>3</v>
      </c>
      <c r="C88" s="81">
        <v>2.5</v>
      </c>
      <c r="D88" s="81">
        <v>2</v>
      </c>
      <c r="E88" s="81">
        <f t="shared" si="2"/>
        <v>1601.434</v>
      </c>
      <c r="H88" s="83">
        <v>11949</v>
      </c>
      <c r="I88" s="83">
        <v>3</v>
      </c>
      <c r="J88" s="83" t="str">
        <f t="shared" si="3"/>
        <v>119493</v>
      </c>
      <c r="K88" s="83">
        <v>1601.434</v>
      </c>
    </row>
    <row r="89" spans="1:11" ht="15">
      <c r="A89" s="81">
        <v>12167</v>
      </c>
      <c r="B89" s="81">
        <v>1</v>
      </c>
      <c r="C89" s="81">
        <v>1.25</v>
      </c>
      <c r="D89" s="81">
        <v>2</v>
      </c>
      <c r="E89" s="81">
        <f t="shared" si="2"/>
        <v>1601.4349999999999</v>
      </c>
      <c r="H89" s="83">
        <v>12167</v>
      </c>
      <c r="I89" s="83">
        <v>1</v>
      </c>
      <c r="J89" s="83" t="str">
        <f t="shared" si="3"/>
        <v>121671</v>
      </c>
      <c r="K89" s="83">
        <v>1601.4349999999999</v>
      </c>
    </row>
    <row r="90" spans="1:11" ht="15">
      <c r="A90" s="81">
        <v>12167</v>
      </c>
      <c r="B90" s="81">
        <v>2</v>
      </c>
      <c r="C90" s="81">
        <v>1.25</v>
      </c>
      <c r="D90" s="81">
        <v>2</v>
      </c>
      <c r="E90" s="81">
        <f t="shared" si="2"/>
        <v>1601.4349999999999</v>
      </c>
      <c r="H90" s="83">
        <v>12167</v>
      </c>
      <c r="I90" s="83">
        <v>2</v>
      </c>
      <c r="J90" s="83" t="str">
        <f t="shared" si="3"/>
        <v>121672</v>
      </c>
      <c r="K90" s="83">
        <v>1601.4349999999999</v>
      </c>
    </row>
    <row r="91" spans="1:11" ht="15">
      <c r="A91" s="81">
        <v>12167</v>
      </c>
      <c r="B91" s="81">
        <v>3</v>
      </c>
      <c r="C91" s="81">
        <v>1.25</v>
      </c>
      <c r="D91" s="81">
        <v>2</v>
      </c>
      <c r="E91" s="81">
        <f t="shared" si="2"/>
        <v>1601.4349999999999</v>
      </c>
      <c r="H91" s="83">
        <v>12167</v>
      </c>
      <c r="I91" s="83">
        <v>3</v>
      </c>
      <c r="J91" s="83" t="str">
        <f t="shared" si="3"/>
        <v>121673</v>
      </c>
      <c r="K91" s="83">
        <v>1601.4349999999999</v>
      </c>
    </row>
    <row r="92" spans="1:11" ht="15">
      <c r="A92" s="81">
        <v>12192</v>
      </c>
      <c r="B92" s="81">
        <v>1</v>
      </c>
      <c r="C92" s="81">
        <v>2.5</v>
      </c>
      <c r="D92" s="81">
        <v>1</v>
      </c>
      <c r="E92" s="81">
        <f t="shared" si="2"/>
        <v>1030.3699999999999</v>
      </c>
      <c r="H92" s="83">
        <v>12192</v>
      </c>
      <c r="I92" s="83">
        <v>1</v>
      </c>
      <c r="J92" s="83" t="str">
        <f t="shared" si="3"/>
        <v>121921</v>
      </c>
      <c r="K92" s="83">
        <v>1030.3699999999999</v>
      </c>
    </row>
    <row r="93" spans="1:11" ht="15">
      <c r="A93" s="81">
        <v>12192</v>
      </c>
      <c r="B93" s="81">
        <v>2</v>
      </c>
      <c r="C93" s="81">
        <v>2.5</v>
      </c>
      <c r="D93" s="81">
        <v>1</v>
      </c>
      <c r="E93" s="81">
        <f t="shared" si="2"/>
        <v>1030.3699999999999</v>
      </c>
      <c r="H93" s="83">
        <v>12192</v>
      </c>
      <c r="I93" s="83">
        <v>2</v>
      </c>
      <c r="J93" s="83" t="str">
        <f t="shared" si="3"/>
        <v>121922</v>
      </c>
      <c r="K93" s="83">
        <v>1030.3699999999999</v>
      </c>
    </row>
    <row r="94" spans="1:11" ht="15">
      <c r="A94" s="81">
        <v>12405</v>
      </c>
      <c r="B94" s="81">
        <v>1</v>
      </c>
      <c r="C94" s="81">
        <v>1.25</v>
      </c>
      <c r="D94" s="81">
        <v>1</v>
      </c>
      <c r="E94" s="81">
        <f t="shared" si="2"/>
        <v>1601.4349999999999</v>
      </c>
      <c r="H94" s="83">
        <v>12405</v>
      </c>
      <c r="I94" s="83">
        <v>1</v>
      </c>
      <c r="J94" s="83" t="str">
        <f t="shared" si="3"/>
        <v>124051</v>
      </c>
      <c r="K94" s="83">
        <v>1601.4349999999999</v>
      </c>
    </row>
    <row r="95" spans="1:11" ht="15">
      <c r="A95" s="81">
        <v>12405</v>
      </c>
      <c r="B95" s="81">
        <v>2</v>
      </c>
      <c r="C95" s="81">
        <v>1.75</v>
      </c>
      <c r="D95" s="81">
        <v>1</v>
      </c>
      <c r="E95" s="81">
        <f t="shared" si="2"/>
        <v>1601.4349999999999</v>
      </c>
      <c r="H95" s="83">
        <v>12405</v>
      </c>
      <c r="I95" s="83">
        <v>2</v>
      </c>
      <c r="J95" s="83" t="str">
        <f t="shared" si="3"/>
        <v>124052</v>
      </c>
      <c r="K95" s="83">
        <v>1601.4349999999999</v>
      </c>
    </row>
    <row r="96" spans="1:11" ht="15">
      <c r="A96" s="81">
        <v>12405</v>
      </c>
      <c r="B96" s="81">
        <v>3</v>
      </c>
      <c r="C96" s="81">
        <v>1.25</v>
      </c>
      <c r="D96" s="81">
        <v>2</v>
      </c>
      <c r="E96" s="81">
        <f t="shared" si="2"/>
        <v>1601.4349999999999</v>
      </c>
      <c r="H96" s="83">
        <v>12405</v>
      </c>
      <c r="I96" s="83">
        <v>3</v>
      </c>
      <c r="J96" s="83" t="str">
        <f t="shared" si="3"/>
        <v>124053</v>
      </c>
      <c r="K96" s="83">
        <v>1601.4349999999999</v>
      </c>
    </row>
    <row r="97" spans="1:11" ht="15">
      <c r="A97" s="81">
        <v>12511</v>
      </c>
      <c r="B97" s="81">
        <v>1</v>
      </c>
      <c r="C97" s="81">
        <v>1.5</v>
      </c>
      <c r="D97" s="81">
        <v>1</v>
      </c>
      <c r="E97" s="81">
        <f t="shared" si="2"/>
        <v>597.90210000000002</v>
      </c>
      <c r="H97" s="83">
        <v>12511</v>
      </c>
      <c r="I97" s="83">
        <v>1</v>
      </c>
      <c r="J97" s="83" t="str">
        <f t="shared" si="3"/>
        <v>125111</v>
      </c>
      <c r="K97" s="83">
        <v>597.90210000000002</v>
      </c>
    </row>
    <row r="98" spans="1:11" ht="15">
      <c r="A98" s="81">
        <v>12511</v>
      </c>
      <c r="B98" s="81">
        <v>2</v>
      </c>
      <c r="C98" s="81">
        <v>1.25</v>
      </c>
      <c r="D98" s="81">
        <v>1</v>
      </c>
      <c r="E98" s="81">
        <f t="shared" si="2"/>
        <v>597.90210000000002</v>
      </c>
      <c r="H98" s="83">
        <v>12511</v>
      </c>
      <c r="I98" s="83">
        <v>2</v>
      </c>
      <c r="J98" s="83" t="str">
        <f t="shared" si="3"/>
        <v>125112</v>
      </c>
      <c r="K98" s="83">
        <v>597.90210000000002</v>
      </c>
    </row>
    <row r="99" spans="1:11" ht="15">
      <c r="A99" s="81">
        <v>12511</v>
      </c>
      <c r="B99" s="81">
        <v>3</v>
      </c>
      <c r="C99" s="81">
        <v>2.5</v>
      </c>
      <c r="D99" s="81">
        <v>1</v>
      </c>
      <c r="E99" s="81">
        <f t="shared" si="2"/>
        <v>597.90210000000002</v>
      </c>
      <c r="H99" s="83">
        <v>12511</v>
      </c>
      <c r="I99" s="83">
        <v>3</v>
      </c>
      <c r="J99" s="83" t="str">
        <f t="shared" si="3"/>
        <v>125113</v>
      </c>
      <c r="K99" s="83">
        <v>597.90210000000002</v>
      </c>
    </row>
    <row r="100" spans="1:11" ht="15">
      <c r="A100" s="81">
        <v>12623</v>
      </c>
      <c r="B100" s="81">
        <v>1</v>
      </c>
      <c r="C100" s="81">
        <v>2.2000000476837198</v>
      </c>
      <c r="D100" s="81">
        <v>1</v>
      </c>
      <c r="E100" s="81">
        <f t="shared" si="2"/>
        <v>2402.152</v>
      </c>
      <c r="H100" s="83">
        <v>12623</v>
      </c>
      <c r="I100" s="83">
        <v>1</v>
      </c>
      <c r="J100" s="83" t="str">
        <f t="shared" si="3"/>
        <v>126231</v>
      </c>
      <c r="K100" s="83">
        <v>2402.152</v>
      </c>
    </row>
    <row r="101" spans="1:11" ht="15">
      <c r="A101" s="81">
        <v>12623</v>
      </c>
      <c r="B101" s="81">
        <v>2</v>
      </c>
      <c r="C101" s="81">
        <v>2.2000000476837198</v>
      </c>
      <c r="D101" s="81">
        <v>2</v>
      </c>
      <c r="E101" s="81">
        <f t="shared" si="2"/>
        <v>2402.152</v>
      </c>
      <c r="H101" s="83">
        <v>12623</v>
      </c>
      <c r="I101" s="83">
        <v>2</v>
      </c>
      <c r="J101" s="83" t="str">
        <f t="shared" si="3"/>
        <v>126232</v>
      </c>
      <c r="K101" s="83">
        <v>2402.152</v>
      </c>
    </row>
    <row r="102" spans="1:11" ht="15">
      <c r="A102" s="81">
        <v>12651</v>
      </c>
      <c r="B102" s="81">
        <v>1</v>
      </c>
      <c r="C102" s="81">
        <v>2.5</v>
      </c>
      <c r="D102" s="81">
        <v>2</v>
      </c>
      <c r="E102" s="81">
        <f t="shared" si="2"/>
        <v>1601.4349999999999</v>
      </c>
      <c r="H102" s="83">
        <v>12651</v>
      </c>
      <c r="I102" s="83">
        <v>1</v>
      </c>
      <c r="J102" s="83" t="str">
        <f t="shared" si="3"/>
        <v>126511</v>
      </c>
      <c r="K102" s="83">
        <v>1601.4349999999999</v>
      </c>
    </row>
    <row r="103" spans="1:11" ht="15">
      <c r="A103" s="81">
        <v>12651</v>
      </c>
      <c r="B103" s="81">
        <v>2</v>
      </c>
      <c r="C103" s="81">
        <v>3.5</v>
      </c>
      <c r="D103" s="81">
        <v>1</v>
      </c>
      <c r="E103" s="81">
        <f t="shared" si="2"/>
        <v>1601.4349999999999</v>
      </c>
      <c r="H103" s="83">
        <v>12651</v>
      </c>
      <c r="I103" s="83">
        <v>2</v>
      </c>
      <c r="J103" s="83" t="str">
        <f t="shared" si="3"/>
        <v>126512</v>
      </c>
      <c r="K103" s="83">
        <v>1601.4349999999999</v>
      </c>
    </row>
    <row r="104" spans="1:11" ht="15">
      <c r="A104" s="81">
        <v>12651</v>
      </c>
      <c r="B104" s="81">
        <v>3</v>
      </c>
      <c r="C104" s="81">
        <v>3</v>
      </c>
      <c r="D104" s="81">
        <v>2</v>
      </c>
      <c r="E104" s="81">
        <f t="shared" si="2"/>
        <v>1601.4349999999999</v>
      </c>
      <c r="H104" s="83">
        <v>12651</v>
      </c>
      <c r="I104" s="83">
        <v>3</v>
      </c>
      <c r="J104" s="83" t="str">
        <f t="shared" si="3"/>
        <v>126513</v>
      </c>
      <c r="K104" s="83">
        <v>1601.4349999999999</v>
      </c>
    </row>
    <row r="105" spans="1:11" ht="15">
      <c r="A105" s="81">
        <v>12783</v>
      </c>
      <c r="B105" s="81">
        <v>1</v>
      </c>
      <c r="C105" s="81">
        <v>2.25</v>
      </c>
      <c r="D105" s="81">
        <v>2</v>
      </c>
      <c r="E105" s="81">
        <f t="shared" si="2"/>
        <v>365.07810000000001</v>
      </c>
      <c r="H105" s="83">
        <v>12783</v>
      </c>
      <c r="I105" s="83">
        <v>1</v>
      </c>
      <c r="J105" s="83" t="str">
        <f t="shared" si="3"/>
        <v>127831</v>
      </c>
      <c r="K105" s="83">
        <v>365.07810000000001</v>
      </c>
    </row>
    <row r="106" spans="1:11" ht="15">
      <c r="A106" s="81">
        <v>12783</v>
      </c>
      <c r="B106" s="81">
        <v>2</v>
      </c>
      <c r="C106" s="81">
        <v>2.25</v>
      </c>
      <c r="D106" s="81">
        <v>1</v>
      </c>
      <c r="E106" s="81">
        <f t="shared" si="2"/>
        <v>365.07810000000001</v>
      </c>
      <c r="H106" s="83">
        <v>12783</v>
      </c>
      <c r="I106" s="83">
        <v>2</v>
      </c>
      <c r="J106" s="83" t="str">
        <f t="shared" si="3"/>
        <v>127832</v>
      </c>
      <c r="K106" s="83">
        <v>365.07810000000001</v>
      </c>
    </row>
    <row r="107" spans="1:11" ht="15">
      <c r="A107" s="81">
        <v>12783</v>
      </c>
      <c r="B107" s="81">
        <v>3</v>
      </c>
      <c r="C107" s="81">
        <v>1.75</v>
      </c>
      <c r="D107" s="81">
        <v>1</v>
      </c>
      <c r="E107" s="81">
        <f t="shared" si="2"/>
        <v>365.07810000000001</v>
      </c>
      <c r="H107" s="83">
        <v>12783</v>
      </c>
      <c r="I107" s="83">
        <v>3</v>
      </c>
      <c r="J107" s="83" t="str">
        <f t="shared" si="3"/>
        <v>127833</v>
      </c>
      <c r="K107" s="83">
        <v>365.07810000000001</v>
      </c>
    </row>
    <row r="108" spans="1:11" ht="15">
      <c r="A108" s="81">
        <v>12932</v>
      </c>
      <c r="B108" s="81">
        <v>1</v>
      </c>
      <c r="C108" s="81">
        <v>1.75</v>
      </c>
      <c r="D108" s="81">
        <v>2</v>
      </c>
      <c r="E108" s="81">
        <f t="shared" si="2"/>
        <v>686.91309999999999</v>
      </c>
      <c r="H108" s="83">
        <v>12932</v>
      </c>
      <c r="I108" s="83">
        <v>1</v>
      </c>
      <c r="J108" s="83" t="str">
        <f t="shared" si="3"/>
        <v>129321</v>
      </c>
      <c r="K108" s="83">
        <v>686.91309999999999</v>
      </c>
    </row>
    <row r="109" spans="1:11" ht="15">
      <c r="A109" s="81">
        <v>12932</v>
      </c>
      <c r="B109" s="81">
        <v>2</v>
      </c>
      <c r="C109" s="81">
        <v>3</v>
      </c>
      <c r="D109" s="81">
        <v>2</v>
      </c>
      <c r="E109" s="81">
        <f t="shared" si="2"/>
        <v>686.91309999999999</v>
      </c>
      <c r="H109" s="83">
        <v>12932</v>
      </c>
      <c r="I109" s="83">
        <v>2</v>
      </c>
      <c r="J109" s="83" t="str">
        <f t="shared" si="3"/>
        <v>129322</v>
      </c>
      <c r="K109" s="83">
        <v>686.91309999999999</v>
      </c>
    </row>
    <row r="110" spans="1:11" ht="15">
      <c r="A110" s="81">
        <v>12932</v>
      </c>
      <c r="B110" s="81">
        <v>3</v>
      </c>
      <c r="C110" s="81">
        <v>2.75</v>
      </c>
      <c r="D110" s="81">
        <v>2</v>
      </c>
      <c r="E110" s="81">
        <f t="shared" si="2"/>
        <v>686.91309999999999</v>
      </c>
      <c r="H110" s="83">
        <v>12932</v>
      </c>
      <c r="I110" s="83">
        <v>3</v>
      </c>
      <c r="J110" s="83" t="str">
        <f t="shared" si="3"/>
        <v>129323</v>
      </c>
      <c r="K110" s="83">
        <v>686.91309999999999</v>
      </c>
    </row>
    <row r="111" spans="1:11" ht="15">
      <c r="A111" s="81">
        <v>12986</v>
      </c>
      <c r="B111" s="81">
        <v>1</v>
      </c>
      <c r="C111" s="81">
        <v>1.8999999761581401</v>
      </c>
      <c r="D111" s="81">
        <v>1</v>
      </c>
      <c r="E111" s="81">
        <f t="shared" si="2"/>
        <v>1030.3699999999999</v>
      </c>
      <c r="H111" s="83">
        <v>12986</v>
      </c>
      <c r="I111" s="83">
        <v>1</v>
      </c>
      <c r="J111" s="83" t="str">
        <f t="shared" si="3"/>
        <v>129861</v>
      </c>
      <c r="K111" s="83">
        <v>1030.3699999999999</v>
      </c>
    </row>
    <row r="112" spans="1:11" ht="15">
      <c r="A112" s="81">
        <v>12986</v>
      </c>
      <c r="B112" s="81">
        <v>2</v>
      </c>
      <c r="C112" s="81">
        <v>1.8999999761581401</v>
      </c>
      <c r="D112" s="81">
        <v>1</v>
      </c>
      <c r="E112" s="81">
        <f t="shared" si="2"/>
        <v>1030.3699999999999</v>
      </c>
      <c r="H112" s="83">
        <v>12986</v>
      </c>
      <c r="I112" s="83">
        <v>2</v>
      </c>
      <c r="J112" s="83" t="str">
        <f t="shared" si="3"/>
        <v>129862</v>
      </c>
      <c r="K112" s="83">
        <v>1030.3699999999999</v>
      </c>
    </row>
    <row r="113" spans="1:11" ht="15">
      <c r="A113" s="81">
        <v>12998</v>
      </c>
      <c r="B113" s="81">
        <v>1</v>
      </c>
      <c r="C113" s="81">
        <v>2</v>
      </c>
      <c r="D113" s="81">
        <v>1</v>
      </c>
      <c r="E113" s="81">
        <f t="shared" si="2"/>
        <v>365.07810000000001</v>
      </c>
      <c r="H113" s="83">
        <v>12998</v>
      </c>
      <c r="I113" s="83">
        <v>1</v>
      </c>
      <c r="J113" s="83" t="str">
        <f t="shared" si="3"/>
        <v>129981</v>
      </c>
      <c r="K113" s="83">
        <v>365.07810000000001</v>
      </c>
    </row>
    <row r="114" spans="1:11" ht="15">
      <c r="A114" s="81">
        <v>12998</v>
      </c>
      <c r="B114" s="81">
        <v>2</v>
      </c>
      <c r="C114" s="81">
        <v>2</v>
      </c>
      <c r="D114" s="81">
        <v>1</v>
      </c>
      <c r="E114" s="81">
        <f t="shared" si="2"/>
        <v>365.07810000000001</v>
      </c>
      <c r="H114" s="83">
        <v>12998</v>
      </c>
      <c r="I114" s="83">
        <v>2</v>
      </c>
      <c r="J114" s="83" t="str">
        <f t="shared" si="3"/>
        <v>129982</v>
      </c>
      <c r="K114" s="83">
        <v>365.07810000000001</v>
      </c>
    </row>
    <row r="115" spans="1:11" ht="15">
      <c r="A115" s="81">
        <v>12998</v>
      </c>
      <c r="B115" s="81">
        <v>3</v>
      </c>
      <c r="C115" s="81">
        <v>2</v>
      </c>
      <c r="D115" s="81">
        <v>1</v>
      </c>
      <c r="E115" s="81">
        <f t="shared" si="2"/>
        <v>365.07810000000001</v>
      </c>
      <c r="H115" s="83">
        <v>12998</v>
      </c>
      <c r="I115" s="83">
        <v>3</v>
      </c>
      <c r="J115" s="83" t="str">
        <f t="shared" si="3"/>
        <v>129983</v>
      </c>
      <c r="K115" s="83">
        <v>365.07810000000001</v>
      </c>
    </row>
    <row r="116" spans="1:11" ht="15">
      <c r="A116" s="81">
        <v>13039</v>
      </c>
      <c r="B116" s="81">
        <v>1</v>
      </c>
      <c r="C116" s="81">
        <v>2</v>
      </c>
      <c r="D116" s="81">
        <v>2</v>
      </c>
      <c r="E116" s="81">
        <f t="shared" si="2"/>
        <v>686.91300000000001</v>
      </c>
      <c r="H116" s="83">
        <v>13039</v>
      </c>
      <c r="I116" s="83">
        <v>1</v>
      </c>
      <c r="J116" s="83" t="str">
        <f t="shared" si="3"/>
        <v>130391</v>
      </c>
      <c r="K116" s="83">
        <v>686.91300000000001</v>
      </c>
    </row>
    <row r="117" spans="1:11" ht="15">
      <c r="A117" s="81">
        <v>13039</v>
      </c>
      <c r="B117" s="81">
        <v>2</v>
      </c>
      <c r="C117" s="81">
        <v>2</v>
      </c>
      <c r="D117" s="81">
        <v>2</v>
      </c>
      <c r="E117" s="81">
        <f t="shared" si="2"/>
        <v>686.91300000000001</v>
      </c>
      <c r="H117" s="83">
        <v>13039</v>
      </c>
      <c r="I117" s="83">
        <v>2</v>
      </c>
      <c r="J117" s="83" t="str">
        <f t="shared" si="3"/>
        <v>130392</v>
      </c>
      <c r="K117" s="83">
        <v>686.91300000000001</v>
      </c>
    </row>
    <row r="118" spans="1:11" ht="15">
      <c r="A118" s="81">
        <v>13039</v>
      </c>
      <c r="B118" s="81">
        <v>3</v>
      </c>
      <c r="C118" s="81">
        <v>2</v>
      </c>
      <c r="D118" s="81">
        <v>2</v>
      </c>
      <c r="E118" s="81">
        <f t="shared" si="2"/>
        <v>686.91300000000001</v>
      </c>
      <c r="H118" s="83">
        <v>13039</v>
      </c>
      <c r="I118" s="83">
        <v>3</v>
      </c>
      <c r="J118" s="83" t="str">
        <f t="shared" si="3"/>
        <v>130393</v>
      </c>
      <c r="K118" s="83">
        <v>686.91300000000001</v>
      </c>
    </row>
    <row r="119" spans="1:11" ht="15">
      <c r="A119" s="81">
        <v>13048</v>
      </c>
      <c r="B119" s="81">
        <v>1</v>
      </c>
      <c r="C119" s="81">
        <v>1.79999995231628</v>
      </c>
      <c r="D119" s="81">
        <v>1</v>
      </c>
      <c r="E119" s="81">
        <f t="shared" si="2"/>
        <v>1601.4349999999999</v>
      </c>
      <c r="H119" s="83">
        <v>13048</v>
      </c>
      <c r="I119" s="83">
        <v>1</v>
      </c>
      <c r="J119" s="83" t="str">
        <f t="shared" si="3"/>
        <v>130481</v>
      </c>
      <c r="K119" s="83">
        <v>1601.4349999999999</v>
      </c>
    </row>
    <row r="120" spans="1:11" ht="15">
      <c r="A120" s="81">
        <v>13048</v>
      </c>
      <c r="B120" s="81">
        <v>2</v>
      </c>
      <c r="C120" s="81">
        <v>1.5</v>
      </c>
      <c r="D120" s="81">
        <v>1</v>
      </c>
      <c r="E120" s="81">
        <f t="shared" si="2"/>
        <v>1601.4349999999999</v>
      </c>
      <c r="H120" s="83">
        <v>13048</v>
      </c>
      <c r="I120" s="83">
        <v>2</v>
      </c>
      <c r="J120" s="83" t="str">
        <f t="shared" si="3"/>
        <v>130482</v>
      </c>
      <c r="K120" s="83">
        <v>1601.4349999999999</v>
      </c>
    </row>
    <row r="121" spans="1:11" ht="15">
      <c r="A121" s="81">
        <v>13048</v>
      </c>
      <c r="B121" s="81">
        <v>3</v>
      </c>
      <c r="C121" s="81">
        <v>2</v>
      </c>
      <c r="D121" s="81">
        <v>1</v>
      </c>
      <c r="E121" s="81">
        <f t="shared" si="2"/>
        <v>1601.4349999999999</v>
      </c>
      <c r="H121" s="83">
        <v>13048</v>
      </c>
      <c r="I121" s="83">
        <v>3</v>
      </c>
      <c r="J121" s="83" t="str">
        <f t="shared" si="3"/>
        <v>130483</v>
      </c>
      <c r="K121" s="83">
        <v>1601.4349999999999</v>
      </c>
    </row>
    <row r="122" spans="1:11" ht="15">
      <c r="A122" s="81">
        <v>13054</v>
      </c>
      <c r="B122" s="81">
        <v>1</v>
      </c>
      <c r="C122" s="81">
        <v>5</v>
      </c>
      <c r="D122" s="81">
        <v>1</v>
      </c>
      <c r="E122" s="81">
        <f t="shared" si="2"/>
        <v>896.85310000000004</v>
      </c>
      <c r="H122" s="83">
        <v>13054</v>
      </c>
      <c r="I122" s="83">
        <v>1</v>
      </c>
      <c r="J122" s="83" t="str">
        <f t="shared" si="3"/>
        <v>130541</v>
      </c>
      <c r="K122" s="83">
        <v>896.85310000000004</v>
      </c>
    </row>
    <row r="123" spans="1:11" ht="15">
      <c r="A123" s="81">
        <v>13054</v>
      </c>
      <c r="B123" s="81">
        <v>2</v>
      </c>
      <c r="C123" s="81">
        <v>5</v>
      </c>
      <c r="D123" s="81">
        <v>1</v>
      </c>
      <c r="E123" s="81">
        <f t="shared" si="2"/>
        <v>896.85310000000004</v>
      </c>
      <c r="H123" s="83">
        <v>13054</v>
      </c>
      <c r="I123" s="83">
        <v>2</v>
      </c>
      <c r="J123" s="83" t="str">
        <f t="shared" si="3"/>
        <v>130542</v>
      </c>
      <c r="K123" s="83">
        <v>896.85310000000004</v>
      </c>
    </row>
    <row r="124" spans="1:11" ht="15">
      <c r="A124" s="81">
        <v>13062</v>
      </c>
      <c r="B124" s="81">
        <v>1</v>
      </c>
      <c r="C124" s="81">
        <v>1.79999995231628</v>
      </c>
      <c r="D124" s="81">
        <v>2</v>
      </c>
      <c r="E124" s="81">
        <f t="shared" si="2"/>
        <v>1601.4349999999999</v>
      </c>
      <c r="H124" s="83">
        <v>13062</v>
      </c>
      <c r="I124" s="83">
        <v>1</v>
      </c>
      <c r="J124" s="83" t="str">
        <f t="shared" si="3"/>
        <v>130621</v>
      </c>
      <c r="K124" s="83">
        <v>1601.4349999999999</v>
      </c>
    </row>
    <row r="125" spans="1:11" ht="15">
      <c r="A125" s="81">
        <v>13062</v>
      </c>
      <c r="B125" s="81">
        <v>2</v>
      </c>
      <c r="C125" s="81">
        <v>2</v>
      </c>
      <c r="D125" s="81">
        <v>2</v>
      </c>
      <c r="E125" s="81">
        <f t="shared" si="2"/>
        <v>1601.4349999999999</v>
      </c>
      <c r="H125" s="83">
        <v>13062</v>
      </c>
      <c r="I125" s="83">
        <v>2</v>
      </c>
      <c r="J125" s="83" t="str">
        <f t="shared" si="3"/>
        <v>130622</v>
      </c>
      <c r="K125" s="83">
        <v>1601.4349999999999</v>
      </c>
    </row>
    <row r="126" spans="1:11" ht="15">
      <c r="A126" s="81">
        <v>13062</v>
      </c>
      <c r="B126" s="81">
        <v>3</v>
      </c>
      <c r="C126" s="81">
        <v>1.79999995231628</v>
      </c>
      <c r="D126" s="81">
        <v>2</v>
      </c>
      <c r="E126" s="81">
        <f t="shared" si="2"/>
        <v>1601.4349999999999</v>
      </c>
      <c r="H126" s="83">
        <v>13062</v>
      </c>
      <c r="I126" s="83">
        <v>3</v>
      </c>
      <c r="J126" s="83" t="str">
        <f t="shared" si="3"/>
        <v>130623</v>
      </c>
      <c r="K126" s="83">
        <v>1601.4349999999999</v>
      </c>
    </row>
    <row r="127" spans="1:11" ht="15">
      <c r="A127" s="81">
        <v>13126</v>
      </c>
      <c r="B127" s="81">
        <v>1</v>
      </c>
      <c r="C127" s="81">
        <v>4.5</v>
      </c>
      <c r="D127" s="81">
        <v>1</v>
      </c>
      <c r="E127" s="81">
        <f t="shared" si="2"/>
        <v>547.61710000000005</v>
      </c>
      <c r="H127" s="83">
        <v>13126</v>
      </c>
      <c r="I127" s="83">
        <v>1</v>
      </c>
      <c r="J127" s="83" t="str">
        <f t="shared" si="3"/>
        <v>131261</v>
      </c>
      <c r="K127" s="83">
        <v>547.61710000000005</v>
      </c>
    </row>
    <row r="128" spans="1:11" ht="15">
      <c r="A128" s="81">
        <v>13126</v>
      </c>
      <c r="B128" s="81">
        <v>2</v>
      </c>
      <c r="C128" s="81">
        <v>2.5</v>
      </c>
      <c r="D128" s="81">
        <v>1</v>
      </c>
      <c r="E128" s="81">
        <f t="shared" si="2"/>
        <v>547.61710000000005</v>
      </c>
      <c r="H128" s="83">
        <v>13126</v>
      </c>
      <c r="I128" s="83">
        <v>2</v>
      </c>
      <c r="J128" s="83" t="str">
        <f t="shared" si="3"/>
        <v>131262</v>
      </c>
      <c r="K128" s="83">
        <v>547.61710000000005</v>
      </c>
    </row>
    <row r="129" spans="1:11" ht="15">
      <c r="A129" s="81">
        <v>13202</v>
      </c>
      <c r="B129" s="81">
        <v>1</v>
      </c>
      <c r="C129" s="81">
        <v>2.5</v>
      </c>
      <c r="D129" s="81">
        <v>2</v>
      </c>
      <c r="E129" s="81">
        <f t="shared" si="2"/>
        <v>1601.434</v>
      </c>
      <c r="H129" s="83">
        <v>13202</v>
      </c>
      <c r="I129" s="83">
        <v>1</v>
      </c>
      <c r="J129" s="83" t="str">
        <f t="shared" si="3"/>
        <v>132021</v>
      </c>
      <c r="K129" s="83">
        <v>1601.434</v>
      </c>
    </row>
    <row r="130" spans="1:11" ht="15">
      <c r="A130" s="81">
        <v>13202</v>
      </c>
      <c r="B130" s="81">
        <v>2</v>
      </c>
      <c r="C130" s="81">
        <v>1.5</v>
      </c>
      <c r="D130" s="81">
        <v>2</v>
      </c>
      <c r="E130" s="81">
        <f t="shared" si="2"/>
        <v>1601.434</v>
      </c>
      <c r="H130" s="83">
        <v>13202</v>
      </c>
      <c r="I130" s="83">
        <v>2</v>
      </c>
      <c r="J130" s="83" t="str">
        <f t="shared" si="3"/>
        <v>132022</v>
      </c>
      <c r="K130" s="83">
        <v>1601.434</v>
      </c>
    </row>
    <row r="131" spans="1:11" ht="15">
      <c r="A131" s="81">
        <v>13202</v>
      </c>
      <c r="B131" s="81">
        <v>3</v>
      </c>
      <c r="C131" s="81">
        <v>2.5</v>
      </c>
      <c r="D131" s="81">
        <v>1</v>
      </c>
      <c r="E131" s="81">
        <f t="shared" ref="E131:E194" si="4">VLOOKUP(A131&amp;B131,$J$2:$K$553,2,FALSE)</f>
        <v>1601.434</v>
      </c>
      <c r="H131" s="83">
        <v>13202</v>
      </c>
      <c r="I131" s="83">
        <v>3</v>
      </c>
      <c r="J131" s="83" t="str">
        <f t="shared" ref="J131:J194" si="5">H131&amp;I131</f>
        <v>132023</v>
      </c>
      <c r="K131" s="83">
        <v>1601.434</v>
      </c>
    </row>
    <row r="132" spans="1:11" ht="15">
      <c r="A132" s="81">
        <v>13218</v>
      </c>
      <c r="B132" s="81">
        <v>1</v>
      </c>
      <c r="C132" s="81">
        <v>3.7999999523162802</v>
      </c>
      <c r="D132" s="81">
        <v>1</v>
      </c>
      <c r="E132" s="81">
        <f t="shared" si="4"/>
        <v>686.91309999999999</v>
      </c>
      <c r="H132" s="83">
        <v>13218</v>
      </c>
      <c r="I132" s="83">
        <v>1</v>
      </c>
      <c r="J132" s="83" t="str">
        <f t="shared" si="5"/>
        <v>132181</v>
      </c>
      <c r="K132" s="83">
        <v>686.91309999999999</v>
      </c>
    </row>
    <row r="133" spans="1:11" ht="15">
      <c r="A133" s="81">
        <v>13218</v>
      </c>
      <c r="B133" s="81">
        <v>2</v>
      </c>
      <c r="C133" s="81">
        <v>2.0999999046325701</v>
      </c>
      <c r="D133" s="81">
        <v>1</v>
      </c>
      <c r="E133" s="81">
        <f t="shared" si="4"/>
        <v>686.91309999999999</v>
      </c>
      <c r="H133" s="83">
        <v>13218</v>
      </c>
      <c r="I133" s="83">
        <v>2</v>
      </c>
      <c r="J133" s="83" t="str">
        <f t="shared" si="5"/>
        <v>132182</v>
      </c>
      <c r="K133" s="83">
        <v>686.91309999999999</v>
      </c>
    </row>
    <row r="134" spans="1:11" ht="15">
      <c r="A134" s="81">
        <v>13218</v>
      </c>
      <c r="B134" s="81">
        <v>3</v>
      </c>
      <c r="C134" s="81">
        <v>2.2000000476837198</v>
      </c>
      <c r="D134" s="81">
        <v>1</v>
      </c>
      <c r="E134" s="81">
        <f t="shared" si="4"/>
        <v>686.91309999999999</v>
      </c>
      <c r="H134" s="83">
        <v>13218</v>
      </c>
      <c r="I134" s="83">
        <v>3</v>
      </c>
      <c r="J134" s="83" t="str">
        <f t="shared" si="5"/>
        <v>132183</v>
      </c>
      <c r="K134" s="83">
        <v>686.91309999999999</v>
      </c>
    </row>
    <row r="135" spans="1:11" ht="15">
      <c r="A135" s="81">
        <v>13268</v>
      </c>
      <c r="B135" s="81">
        <v>1</v>
      </c>
      <c r="C135" s="81">
        <v>1.5</v>
      </c>
      <c r="D135" s="81">
        <v>1</v>
      </c>
      <c r="E135" s="81">
        <f t="shared" si="4"/>
        <v>686.91300000000001</v>
      </c>
      <c r="H135" s="83">
        <v>13268</v>
      </c>
      <c r="I135" s="83">
        <v>1</v>
      </c>
      <c r="J135" s="83" t="str">
        <f t="shared" si="5"/>
        <v>132681</v>
      </c>
      <c r="K135" s="83">
        <v>686.91300000000001</v>
      </c>
    </row>
    <row r="136" spans="1:11" ht="15">
      <c r="A136" s="81">
        <v>13268</v>
      </c>
      <c r="B136" s="81">
        <v>2</v>
      </c>
      <c r="C136" s="81">
        <v>1.5</v>
      </c>
      <c r="D136" s="81">
        <v>1</v>
      </c>
      <c r="E136" s="81">
        <f t="shared" si="4"/>
        <v>686.91300000000001</v>
      </c>
      <c r="H136" s="83">
        <v>13268</v>
      </c>
      <c r="I136" s="83">
        <v>2</v>
      </c>
      <c r="J136" s="83" t="str">
        <f t="shared" si="5"/>
        <v>132682</v>
      </c>
      <c r="K136" s="83">
        <v>686.91300000000001</v>
      </c>
    </row>
    <row r="137" spans="1:11" ht="15">
      <c r="A137" s="81">
        <v>13268</v>
      </c>
      <c r="B137" s="81">
        <v>3</v>
      </c>
      <c r="C137" s="81">
        <v>1.5</v>
      </c>
      <c r="D137" s="81">
        <v>1</v>
      </c>
      <c r="E137" s="81">
        <f t="shared" si="4"/>
        <v>686.91300000000001</v>
      </c>
      <c r="H137" s="83">
        <v>13268</v>
      </c>
      <c r="I137" s="83">
        <v>3</v>
      </c>
      <c r="J137" s="83" t="str">
        <f t="shared" si="5"/>
        <v>132683</v>
      </c>
      <c r="K137" s="83">
        <v>686.91300000000001</v>
      </c>
    </row>
    <row r="138" spans="1:11" ht="15">
      <c r="A138" s="81">
        <v>13321</v>
      </c>
      <c r="B138" s="81">
        <v>1</v>
      </c>
      <c r="C138" s="81">
        <v>3</v>
      </c>
      <c r="D138" s="81">
        <v>2</v>
      </c>
      <c r="E138" s="81">
        <f t="shared" si="4"/>
        <v>2402.152</v>
      </c>
      <c r="H138" s="83">
        <v>13321</v>
      </c>
      <c r="I138" s="83">
        <v>1</v>
      </c>
      <c r="J138" s="83" t="str">
        <f t="shared" si="5"/>
        <v>133211</v>
      </c>
      <c r="K138" s="83">
        <v>2402.152</v>
      </c>
    </row>
    <row r="139" spans="1:11" ht="15">
      <c r="A139" s="81">
        <v>13321</v>
      </c>
      <c r="B139" s="81">
        <v>2</v>
      </c>
      <c r="C139" s="81">
        <v>3.5</v>
      </c>
      <c r="D139" s="81">
        <v>2</v>
      </c>
      <c r="E139" s="81">
        <f t="shared" si="4"/>
        <v>2402.152</v>
      </c>
      <c r="H139" s="83">
        <v>13321</v>
      </c>
      <c r="I139" s="83">
        <v>2</v>
      </c>
      <c r="J139" s="83" t="str">
        <f t="shared" si="5"/>
        <v>133212</v>
      </c>
      <c r="K139" s="83">
        <v>2402.152</v>
      </c>
    </row>
    <row r="140" spans="1:11" ht="15">
      <c r="A140" s="81">
        <v>13360</v>
      </c>
      <c r="B140" s="81">
        <v>1</v>
      </c>
      <c r="C140" s="81">
        <v>2.5</v>
      </c>
      <c r="D140" s="81">
        <v>1</v>
      </c>
      <c r="E140" s="81">
        <f t="shared" si="4"/>
        <v>2402.152</v>
      </c>
      <c r="H140" s="83">
        <v>13360</v>
      </c>
      <c r="I140" s="83">
        <v>1</v>
      </c>
      <c r="J140" s="83" t="str">
        <f t="shared" si="5"/>
        <v>133601</v>
      </c>
      <c r="K140" s="83">
        <v>2402.152</v>
      </c>
    </row>
    <row r="141" spans="1:11" ht="15">
      <c r="A141" s="81">
        <v>13360</v>
      </c>
      <c r="B141" s="81">
        <v>2</v>
      </c>
      <c r="C141" s="81">
        <v>1.75</v>
      </c>
      <c r="D141" s="81">
        <v>1</v>
      </c>
      <c r="E141" s="81">
        <f t="shared" si="4"/>
        <v>2402.152</v>
      </c>
      <c r="H141" s="83">
        <v>13360</v>
      </c>
      <c r="I141" s="83">
        <v>2</v>
      </c>
      <c r="J141" s="83" t="str">
        <f t="shared" si="5"/>
        <v>133602</v>
      </c>
      <c r="K141" s="83">
        <v>2402.152</v>
      </c>
    </row>
    <row r="142" spans="1:11" ht="15">
      <c r="A142" s="81">
        <v>13384</v>
      </c>
      <c r="B142" s="81">
        <v>1</v>
      </c>
      <c r="C142" s="81">
        <v>2</v>
      </c>
      <c r="D142" s="81">
        <v>2</v>
      </c>
      <c r="E142" s="81">
        <f t="shared" si="4"/>
        <v>686.91300000000001</v>
      </c>
      <c r="H142" s="83">
        <v>13384</v>
      </c>
      <c r="I142" s="83">
        <v>1</v>
      </c>
      <c r="J142" s="83" t="str">
        <f t="shared" si="5"/>
        <v>133841</v>
      </c>
      <c r="K142" s="83">
        <v>686.91300000000001</v>
      </c>
    </row>
    <row r="143" spans="1:11" ht="15">
      <c r="A143" s="81">
        <v>13384</v>
      </c>
      <c r="B143" s="81">
        <v>2</v>
      </c>
      <c r="C143" s="81">
        <v>3.2000000476837198</v>
      </c>
      <c r="D143" s="81">
        <v>2</v>
      </c>
      <c r="E143" s="81">
        <f t="shared" si="4"/>
        <v>686.91300000000001</v>
      </c>
      <c r="H143" s="83">
        <v>13384</v>
      </c>
      <c r="I143" s="83">
        <v>2</v>
      </c>
      <c r="J143" s="83" t="str">
        <f t="shared" si="5"/>
        <v>133842</v>
      </c>
      <c r="K143" s="83">
        <v>686.91300000000001</v>
      </c>
    </row>
    <row r="144" spans="1:11" ht="15">
      <c r="A144" s="81">
        <v>13384</v>
      </c>
      <c r="B144" s="81">
        <v>3</v>
      </c>
      <c r="C144" s="81">
        <v>2</v>
      </c>
      <c r="D144" s="81">
        <v>2</v>
      </c>
      <c r="E144" s="81">
        <f t="shared" si="4"/>
        <v>686.91300000000001</v>
      </c>
      <c r="H144" s="83">
        <v>13384</v>
      </c>
      <c r="I144" s="83">
        <v>3</v>
      </c>
      <c r="J144" s="83" t="str">
        <f t="shared" si="5"/>
        <v>133843</v>
      </c>
      <c r="K144" s="83">
        <v>686.91300000000001</v>
      </c>
    </row>
    <row r="145" spans="1:11" ht="15">
      <c r="A145" s="81">
        <v>13520</v>
      </c>
      <c r="B145" s="81">
        <v>1</v>
      </c>
      <c r="C145" s="81">
        <v>2</v>
      </c>
      <c r="D145" s="81">
        <v>1</v>
      </c>
      <c r="E145" s="81">
        <f t="shared" si="4"/>
        <v>686.91300000000001</v>
      </c>
      <c r="H145" s="83">
        <v>13520</v>
      </c>
      <c r="I145" s="83">
        <v>1</v>
      </c>
      <c r="J145" s="83" t="str">
        <f t="shared" si="5"/>
        <v>135201</v>
      </c>
      <c r="K145" s="83">
        <v>686.91300000000001</v>
      </c>
    </row>
    <row r="146" spans="1:11" ht="15">
      <c r="A146" s="81">
        <v>13520</v>
      </c>
      <c r="B146" s="81">
        <v>2</v>
      </c>
      <c r="C146" s="81">
        <v>2</v>
      </c>
      <c r="D146" s="81">
        <v>1</v>
      </c>
      <c r="E146" s="81">
        <f t="shared" si="4"/>
        <v>686.91300000000001</v>
      </c>
      <c r="H146" s="83">
        <v>13520</v>
      </c>
      <c r="I146" s="83">
        <v>2</v>
      </c>
      <c r="J146" s="83" t="str">
        <f t="shared" si="5"/>
        <v>135202</v>
      </c>
      <c r="K146" s="83">
        <v>686.91300000000001</v>
      </c>
    </row>
    <row r="147" spans="1:11" ht="15">
      <c r="A147" s="81">
        <v>13520</v>
      </c>
      <c r="B147" s="81">
        <v>3</v>
      </c>
      <c r="C147" s="81">
        <v>2</v>
      </c>
      <c r="D147" s="81">
        <v>1</v>
      </c>
      <c r="E147" s="81">
        <f t="shared" si="4"/>
        <v>686.91300000000001</v>
      </c>
      <c r="H147" s="83">
        <v>13520</v>
      </c>
      <c r="I147" s="83">
        <v>3</v>
      </c>
      <c r="J147" s="83" t="str">
        <f t="shared" si="5"/>
        <v>135203</v>
      </c>
      <c r="K147" s="83">
        <v>686.91300000000001</v>
      </c>
    </row>
    <row r="148" spans="1:11" ht="15">
      <c r="A148" s="81">
        <v>13628</v>
      </c>
      <c r="B148" s="81">
        <v>1</v>
      </c>
      <c r="C148" s="81">
        <v>1.5</v>
      </c>
      <c r="D148" s="81">
        <v>1</v>
      </c>
      <c r="E148" s="81">
        <f t="shared" si="4"/>
        <v>686.91300000000001</v>
      </c>
      <c r="H148" s="83">
        <v>13628</v>
      </c>
      <c r="I148" s="83">
        <v>1</v>
      </c>
      <c r="J148" s="83" t="str">
        <f t="shared" si="5"/>
        <v>136281</v>
      </c>
      <c r="K148" s="83">
        <v>686.91300000000001</v>
      </c>
    </row>
    <row r="149" spans="1:11" ht="15">
      <c r="A149" s="81">
        <v>13628</v>
      </c>
      <c r="B149" s="81">
        <v>2</v>
      </c>
      <c r="C149" s="81">
        <v>3</v>
      </c>
      <c r="D149" s="81">
        <v>1</v>
      </c>
      <c r="E149" s="81">
        <f t="shared" si="4"/>
        <v>686.91300000000001</v>
      </c>
      <c r="H149" s="83">
        <v>13628</v>
      </c>
      <c r="I149" s="83">
        <v>2</v>
      </c>
      <c r="J149" s="83" t="str">
        <f t="shared" si="5"/>
        <v>136282</v>
      </c>
      <c r="K149" s="83">
        <v>686.91300000000001</v>
      </c>
    </row>
    <row r="150" spans="1:11" ht="15">
      <c r="A150" s="81">
        <v>13628</v>
      </c>
      <c r="B150" s="81">
        <v>3</v>
      </c>
      <c r="C150" s="81">
        <v>2</v>
      </c>
      <c r="D150" s="81">
        <v>1</v>
      </c>
      <c r="E150" s="81">
        <f t="shared" si="4"/>
        <v>686.91300000000001</v>
      </c>
      <c r="H150" s="83">
        <v>13628</v>
      </c>
      <c r="I150" s="83">
        <v>3</v>
      </c>
      <c r="J150" s="83" t="str">
        <f t="shared" si="5"/>
        <v>136283</v>
      </c>
      <c r="K150" s="83">
        <v>686.91300000000001</v>
      </c>
    </row>
    <row r="151" spans="1:11" ht="15">
      <c r="A151" s="81">
        <v>13694</v>
      </c>
      <c r="B151" s="81">
        <v>1</v>
      </c>
      <c r="C151" s="81">
        <v>2.25</v>
      </c>
      <c r="D151" s="81">
        <v>2</v>
      </c>
      <c r="E151" s="81">
        <f t="shared" si="4"/>
        <v>1601.4349999999999</v>
      </c>
      <c r="H151" s="83">
        <v>13694</v>
      </c>
      <c r="I151" s="83">
        <v>1</v>
      </c>
      <c r="J151" s="83" t="str">
        <f t="shared" si="5"/>
        <v>136941</v>
      </c>
      <c r="K151" s="83">
        <v>1601.4349999999999</v>
      </c>
    </row>
    <row r="152" spans="1:11" ht="15">
      <c r="A152" s="81">
        <v>13694</v>
      </c>
      <c r="B152" s="81">
        <v>2</v>
      </c>
      <c r="C152" s="81">
        <v>2</v>
      </c>
      <c r="D152" s="81">
        <v>1</v>
      </c>
      <c r="E152" s="81">
        <f t="shared" si="4"/>
        <v>1601.4349999999999</v>
      </c>
      <c r="H152" s="83">
        <v>13694</v>
      </c>
      <c r="I152" s="83">
        <v>2</v>
      </c>
      <c r="J152" s="83" t="str">
        <f t="shared" si="5"/>
        <v>136942</v>
      </c>
      <c r="K152" s="83">
        <v>1601.4349999999999</v>
      </c>
    </row>
    <row r="153" spans="1:11" ht="15">
      <c r="A153" s="81">
        <v>13694</v>
      </c>
      <c r="B153" s="81">
        <v>3</v>
      </c>
      <c r="C153" s="81">
        <v>2.5</v>
      </c>
      <c r="D153" s="81">
        <v>2</v>
      </c>
      <c r="E153" s="81">
        <f t="shared" si="4"/>
        <v>1601.4349999999999</v>
      </c>
      <c r="H153" s="83">
        <v>13694</v>
      </c>
      <c r="I153" s="83">
        <v>3</v>
      </c>
      <c r="J153" s="83" t="str">
        <f t="shared" si="5"/>
        <v>136943</v>
      </c>
      <c r="K153" s="83">
        <v>1601.4349999999999</v>
      </c>
    </row>
    <row r="154" spans="1:11" ht="15">
      <c r="A154" s="81">
        <v>13712</v>
      </c>
      <c r="B154" s="81">
        <v>1</v>
      </c>
      <c r="C154" s="81">
        <v>1.6000000238418599</v>
      </c>
      <c r="D154" s="81">
        <v>1</v>
      </c>
      <c r="E154" s="81">
        <f t="shared" si="4"/>
        <v>365.07810000000001</v>
      </c>
      <c r="H154" s="83">
        <v>13712</v>
      </c>
      <c r="I154" s="83">
        <v>1</v>
      </c>
      <c r="J154" s="83" t="str">
        <f t="shared" si="5"/>
        <v>137121</v>
      </c>
      <c r="K154" s="83">
        <v>365.07810000000001</v>
      </c>
    </row>
    <row r="155" spans="1:11" ht="15">
      <c r="A155" s="81">
        <v>13712</v>
      </c>
      <c r="B155" s="81">
        <v>2</v>
      </c>
      <c r="C155" s="81">
        <v>1.6000000238418599</v>
      </c>
      <c r="D155" s="81">
        <v>1</v>
      </c>
      <c r="E155" s="81">
        <f t="shared" si="4"/>
        <v>365.07810000000001</v>
      </c>
      <c r="H155" s="83">
        <v>13712</v>
      </c>
      <c r="I155" s="83">
        <v>2</v>
      </c>
      <c r="J155" s="83" t="str">
        <f t="shared" si="5"/>
        <v>137122</v>
      </c>
      <c r="K155" s="83">
        <v>365.07810000000001</v>
      </c>
    </row>
    <row r="156" spans="1:11" ht="15">
      <c r="A156" s="81">
        <v>13712</v>
      </c>
      <c r="B156" s="81">
        <v>3</v>
      </c>
      <c r="C156" s="81">
        <v>1.8999999761581401</v>
      </c>
      <c r="D156" s="81">
        <v>1</v>
      </c>
      <c r="E156" s="81">
        <f t="shared" si="4"/>
        <v>365.07810000000001</v>
      </c>
      <c r="H156" s="83">
        <v>13712</v>
      </c>
      <c r="I156" s="83">
        <v>3</v>
      </c>
      <c r="J156" s="83" t="str">
        <f t="shared" si="5"/>
        <v>137123</v>
      </c>
      <c r="K156" s="83">
        <v>365.07810000000001</v>
      </c>
    </row>
    <row r="157" spans="1:11" ht="15">
      <c r="A157" s="81">
        <v>13861</v>
      </c>
      <c r="B157" s="81">
        <v>1</v>
      </c>
      <c r="C157" s="81">
        <v>1.3999999761581401</v>
      </c>
      <c r="D157" s="81">
        <v>1</v>
      </c>
      <c r="E157" s="81">
        <f t="shared" si="4"/>
        <v>365.07810000000001</v>
      </c>
      <c r="H157" s="83">
        <v>13861</v>
      </c>
      <c r="I157" s="83">
        <v>1</v>
      </c>
      <c r="J157" s="83" t="str">
        <f t="shared" si="5"/>
        <v>138611</v>
      </c>
      <c r="K157" s="83">
        <v>365.07810000000001</v>
      </c>
    </row>
    <row r="158" spans="1:11" ht="15">
      <c r="A158" s="81">
        <v>13861</v>
      </c>
      <c r="B158" s="81">
        <v>2</v>
      </c>
      <c r="C158" s="81">
        <v>1.3999999761581401</v>
      </c>
      <c r="D158" s="81">
        <v>1</v>
      </c>
      <c r="E158" s="81">
        <f t="shared" si="4"/>
        <v>365.07810000000001</v>
      </c>
      <c r="H158" s="83">
        <v>13861</v>
      </c>
      <c r="I158" s="83">
        <v>2</v>
      </c>
      <c r="J158" s="83" t="str">
        <f t="shared" si="5"/>
        <v>138612</v>
      </c>
      <c r="K158" s="83">
        <v>365.07810000000001</v>
      </c>
    </row>
    <row r="159" spans="1:11" ht="15">
      <c r="A159" s="81">
        <v>13861</v>
      </c>
      <c r="B159" s="81">
        <v>3</v>
      </c>
      <c r="C159" s="81">
        <v>1.5</v>
      </c>
      <c r="D159" s="81">
        <v>1</v>
      </c>
      <c r="E159" s="81">
        <f t="shared" si="4"/>
        <v>365.07810000000001</v>
      </c>
      <c r="H159" s="83">
        <v>13861</v>
      </c>
      <c r="I159" s="83">
        <v>3</v>
      </c>
      <c r="J159" s="83" t="str">
        <f t="shared" si="5"/>
        <v>138613</v>
      </c>
      <c r="K159" s="83">
        <v>365.07810000000001</v>
      </c>
    </row>
    <row r="160" spans="1:11" ht="15">
      <c r="A160" s="81">
        <v>13899</v>
      </c>
      <c r="B160" s="81">
        <v>1</v>
      </c>
      <c r="C160" s="81">
        <v>1.3999999761581401</v>
      </c>
      <c r="D160" s="81">
        <v>1</v>
      </c>
      <c r="E160" s="81">
        <f t="shared" si="4"/>
        <v>365.07810000000001</v>
      </c>
      <c r="H160" s="83">
        <v>13899</v>
      </c>
      <c r="I160" s="83">
        <v>1</v>
      </c>
      <c r="J160" s="83" t="str">
        <f t="shared" si="5"/>
        <v>138991</v>
      </c>
      <c r="K160" s="83">
        <v>365.07810000000001</v>
      </c>
    </row>
    <row r="161" spans="1:11" ht="15">
      <c r="A161" s="81">
        <v>13899</v>
      </c>
      <c r="B161" s="81">
        <v>2</v>
      </c>
      <c r="C161" s="81">
        <v>1.3999999761581401</v>
      </c>
      <c r="D161" s="81">
        <v>1</v>
      </c>
      <c r="E161" s="81">
        <f t="shared" si="4"/>
        <v>365.07810000000001</v>
      </c>
      <c r="H161" s="83">
        <v>13899</v>
      </c>
      <c r="I161" s="83">
        <v>2</v>
      </c>
      <c r="J161" s="83" t="str">
        <f t="shared" si="5"/>
        <v>138992</v>
      </c>
      <c r="K161" s="83">
        <v>365.07810000000001</v>
      </c>
    </row>
    <row r="162" spans="1:11" ht="15">
      <c r="A162" s="81">
        <v>13899</v>
      </c>
      <c r="B162" s="81">
        <v>3</v>
      </c>
      <c r="C162" s="81">
        <v>2.0999999046325701</v>
      </c>
      <c r="D162" s="81">
        <v>1</v>
      </c>
      <c r="E162" s="81">
        <f t="shared" si="4"/>
        <v>365.07810000000001</v>
      </c>
      <c r="H162" s="83">
        <v>13899</v>
      </c>
      <c r="I162" s="83">
        <v>3</v>
      </c>
      <c r="J162" s="83" t="str">
        <f t="shared" si="5"/>
        <v>138993</v>
      </c>
      <c r="K162" s="83">
        <v>365.07810000000001</v>
      </c>
    </row>
    <row r="163" spans="1:11" ht="15">
      <c r="A163" s="81">
        <v>13988</v>
      </c>
      <c r="B163" s="81">
        <v>1</v>
      </c>
      <c r="C163" s="81">
        <v>2.5</v>
      </c>
      <c r="D163" s="81">
        <v>1</v>
      </c>
      <c r="E163" s="81">
        <f t="shared" si="4"/>
        <v>1030.3699999999999</v>
      </c>
      <c r="H163" s="83">
        <v>13988</v>
      </c>
      <c r="I163" s="83">
        <v>1</v>
      </c>
      <c r="J163" s="83" t="str">
        <f t="shared" si="5"/>
        <v>139881</v>
      </c>
      <c r="K163" s="83">
        <v>1030.3699999999999</v>
      </c>
    </row>
    <row r="164" spans="1:11" ht="15">
      <c r="A164" s="81">
        <v>13988</v>
      </c>
      <c r="B164" s="81">
        <v>2</v>
      </c>
      <c r="C164" s="81">
        <v>1.8999999761581401</v>
      </c>
      <c r="D164" s="81">
        <v>1</v>
      </c>
      <c r="E164" s="81">
        <f t="shared" si="4"/>
        <v>1030.3699999999999</v>
      </c>
      <c r="H164" s="83">
        <v>13988</v>
      </c>
      <c r="I164" s="83">
        <v>2</v>
      </c>
      <c r="J164" s="83" t="str">
        <f t="shared" si="5"/>
        <v>139882</v>
      </c>
      <c r="K164" s="83">
        <v>1030.3699999999999</v>
      </c>
    </row>
    <row r="165" spans="1:11" ht="15">
      <c r="A165" s="81">
        <v>14014</v>
      </c>
      <c r="B165" s="81">
        <v>1</v>
      </c>
      <c r="C165" s="81">
        <v>2.25</v>
      </c>
      <c r="D165" s="81">
        <v>1</v>
      </c>
      <c r="E165" s="81">
        <f t="shared" si="4"/>
        <v>1030.3699999999999</v>
      </c>
      <c r="H165" s="83">
        <v>14014</v>
      </c>
      <c r="I165" s="83">
        <v>1</v>
      </c>
      <c r="J165" s="83" t="str">
        <f t="shared" si="5"/>
        <v>140141</v>
      </c>
      <c r="K165" s="83">
        <v>1030.3699999999999</v>
      </c>
    </row>
    <row r="166" spans="1:11" ht="15">
      <c r="A166" s="81">
        <v>14014</v>
      </c>
      <c r="B166" s="81">
        <v>2</v>
      </c>
      <c r="C166" s="81">
        <v>3.2000000476837198</v>
      </c>
      <c r="D166" s="81">
        <v>1</v>
      </c>
      <c r="E166" s="81">
        <f t="shared" si="4"/>
        <v>1030.3699999999999</v>
      </c>
      <c r="H166" s="83">
        <v>14014</v>
      </c>
      <c r="I166" s="83">
        <v>2</v>
      </c>
      <c r="J166" s="83" t="str">
        <f t="shared" si="5"/>
        <v>140142</v>
      </c>
      <c r="K166" s="83">
        <v>1030.3699999999999</v>
      </c>
    </row>
    <row r="167" spans="1:11" ht="15">
      <c r="A167" s="81">
        <v>14020</v>
      </c>
      <c r="B167" s="81">
        <v>1</v>
      </c>
      <c r="C167" s="81">
        <v>3</v>
      </c>
      <c r="D167" s="81">
        <v>1</v>
      </c>
      <c r="E167" s="81">
        <f t="shared" si="4"/>
        <v>686.91300000000001</v>
      </c>
      <c r="H167" s="83">
        <v>14020</v>
      </c>
      <c r="I167" s="83">
        <v>1</v>
      </c>
      <c r="J167" s="83" t="str">
        <f t="shared" si="5"/>
        <v>140201</v>
      </c>
      <c r="K167" s="83">
        <v>686.91300000000001</v>
      </c>
    </row>
    <row r="168" spans="1:11" ht="15">
      <c r="A168" s="81">
        <v>14020</v>
      </c>
      <c r="B168" s="81">
        <v>2</v>
      </c>
      <c r="C168" s="81">
        <v>2.5</v>
      </c>
      <c r="D168" s="81">
        <v>1</v>
      </c>
      <c r="E168" s="81">
        <f t="shared" si="4"/>
        <v>686.91300000000001</v>
      </c>
      <c r="H168" s="83">
        <v>14020</v>
      </c>
      <c r="I168" s="83">
        <v>2</v>
      </c>
      <c r="J168" s="83" t="str">
        <f t="shared" si="5"/>
        <v>140202</v>
      </c>
      <c r="K168" s="83">
        <v>686.91300000000001</v>
      </c>
    </row>
    <row r="169" spans="1:11" ht="15">
      <c r="A169" s="81">
        <v>14020</v>
      </c>
      <c r="B169" s="81">
        <v>3</v>
      </c>
      <c r="C169" s="81">
        <v>2.5</v>
      </c>
      <c r="D169" s="81">
        <v>1</v>
      </c>
      <c r="E169" s="81">
        <f t="shared" si="4"/>
        <v>686.91300000000001</v>
      </c>
      <c r="H169" s="83">
        <v>14020</v>
      </c>
      <c r="I169" s="83">
        <v>3</v>
      </c>
      <c r="J169" s="83" t="str">
        <f t="shared" si="5"/>
        <v>140203</v>
      </c>
      <c r="K169" s="83">
        <v>686.91300000000001</v>
      </c>
    </row>
    <row r="170" spans="1:11" ht="15">
      <c r="A170" s="81">
        <v>14059</v>
      </c>
      <c r="B170" s="81">
        <v>1</v>
      </c>
      <c r="C170" s="81">
        <v>1.6000000238418599</v>
      </c>
      <c r="D170" s="81">
        <v>1</v>
      </c>
      <c r="E170" s="81">
        <f t="shared" si="4"/>
        <v>686.91300000000001</v>
      </c>
      <c r="H170" s="83">
        <v>14059</v>
      </c>
      <c r="I170" s="83">
        <v>1</v>
      </c>
      <c r="J170" s="83" t="str">
        <f t="shared" si="5"/>
        <v>140591</v>
      </c>
      <c r="K170" s="83">
        <v>686.91300000000001</v>
      </c>
    </row>
    <row r="171" spans="1:11" ht="15">
      <c r="A171" s="81">
        <v>14059</v>
      </c>
      <c r="B171" s="81">
        <v>2</v>
      </c>
      <c r="C171" s="81">
        <v>1.6000000238418599</v>
      </c>
      <c r="D171" s="81">
        <v>1</v>
      </c>
      <c r="E171" s="81">
        <f t="shared" si="4"/>
        <v>686.91300000000001</v>
      </c>
      <c r="H171" s="83">
        <v>14059</v>
      </c>
      <c r="I171" s="83">
        <v>2</v>
      </c>
      <c r="J171" s="83" t="str">
        <f t="shared" si="5"/>
        <v>140592</v>
      </c>
      <c r="K171" s="83">
        <v>686.91300000000001</v>
      </c>
    </row>
    <row r="172" spans="1:11" ht="15">
      <c r="A172" s="81">
        <v>14059</v>
      </c>
      <c r="B172" s="81">
        <v>3</v>
      </c>
      <c r="C172" s="81">
        <v>1.8999999761581401</v>
      </c>
      <c r="D172" s="81">
        <v>1</v>
      </c>
      <c r="E172" s="81">
        <f t="shared" si="4"/>
        <v>686.91300000000001</v>
      </c>
      <c r="H172" s="83">
        <v>14059</v>
      </c>
      <c r="I172" s="83">
        <v>3</v>
      </c>
      <c r="J172" s="83" t="str">
        <f t="shared" si="5"/>
        <v>140593</v>
      </c>
      <c r="K172" s="83">
        <v>686.91300000000001</v>
      </c>
    </row>
    <row r="173" spans="1:11" ht="15">
      <c r="A173" s="81">
        <v>14163</v>
      </c>
      <c r="B173" s="81">
        <v>1</v>
      </c>
      <c r="C173" s="81">
        <v>2</v>
      </c>
      <c r="D173" s="81">
        <v>1</v>
      </c>
      <c r="E173" s="81">
        <f t="shared" si="4"/>
        <v>686.91300000000001</v>
      </c>
      <c r="H173" s="83">
        <v>14163</v>
      </c>
      <c r="I173" s="83">
        <v>1</v>
      </c>
      <c r="J173" s="83" t="str">
        <f t="shared" si="5"/>
        <v>141631</v>
      </c>
      <c r="K173" s="83">
        <v>686.91300000000001</v>
      </c>
    </row>
    <row r="174" spans="1:11" ht="15">
      <c r="A174" s="81">
        <v>14163</v>
      </c>
      <c r="B174" s="81">
        <v>2</v>
      </c>
      <c r="D174" s="81">
        <v>1</v>
      </c>
      <c r="E174" s="81">
        <f t="shared" si="4"/>
        <v>686.91300000000001</v>
      </c>
      <c r="H174" s="83">
        <v>14163</v>
      </c>
      <c r="I174" s="83">
        <v>2</v>
      </c>
      <c r="J174" s="83" t="str">
        <f t="shared" si="5"/>
        <v>141632</v>
      </c>
      <c r="K174" s="83">
        <v>686.91300000000001</v>
      </c>
    </row>
    <row r="175" spans="1:11" ht="15">
      <c r="A175" s="81">
        <v>14163</v>
      </c>
      <c r="B175" s="81">
        <v>3</v>
      </c>
      <c r="D175" s="81">
        <v>1</v>
      </c>
      <c r="E175" s="81">
        <f t="shared" si="4"/>
        <v>686.91300000000001</v>
      </c>
      <c r="H175" s="83">
        <v>14163</v>
      </c>
      <c r="I175" s="83">
        <v>3</v>
      </c>
      <c r="J175" s="83" t="str">
        <f t="shared" si="5"/>
        <v>141633</v>
      </c>
      <c r="K175" s="83">
        <v>686.91300000000001</v>
      </c>
    </row>
    <row r="176" spans="1:11" ht="15">
      <c r="A176" s="81">
        <v>14240</v>
      </c>
      <c r="B176" s="81">
        <v>1</v>
      </c>
      <c r="C176" s="81">
        <v>1.8999999761581401</v>
      </c>
      <c r="D176" s="81">
        <v>2</v>
      </c>
      <c r="E176" s="81">
        <f t="shared" si="4"/>
        <v>2402.152</v>
      </c>
      <c r="H176" s="83">
        <v>14240</v>
      </c>
      <c r="I176" s="83">
        <v>1</v>
      </c>
      <c r="J176" s="83" t="str">
        <f t="shared" si="5"/>
        <v>142401</v>
      </c>
      <c r="K176" s="83">
        <v>2402.152</v>
      </c>
    </row>
    <row r="177" spans="1:11" ht="15">
      <c r="A177" s="81">
        <v>14240</v>
      </c>
      <c r="B177" s="81">
        <v>2</v>
      </c>
      <c r="C177" s="81">
        <v>2.0999999046325701</v>
      </c>
      <c r="D177" s="81">
        <v>2</v>
      </c>
      <c r="E177" s="81">
        <f t="shared" si="4"/>
        <v>2402.152</v>
      </c>
      <c r="H177" s="83">
        <v>14240</v>
      </c>
      <c r="I177" s="83">
        <v>2</v>
      </c>
      <c r="J177" s="83" t="str">
        <f t="shared" si="5"/>
        <v>142402</v>
      </c>
      <c r="K177" s="83">
        <v>2402.152</v>
      </c>
    </row>
    <row r="178" spans="1:11" ht="15">
      <c r="A178" s="81">
        <v>14258</v>
      </c>
      <c r="B178" s="81">
        <v>1</v>
      </c>
      <c r="C178" s="81">
        <v>1.5</v>
      </c>
      <c r="D178" s="81">
        <v>2</v>
      </c>
      <c r="E178" s="81">
        <f t="shared" si="4"/>
        <v>2402.152</v>
      </c>
      <c r="H178" s="83">
        <v>14258</v>
      </c>
      <c r="I178" s="83">
        <v>1</v>
      </c>
      <c r="J178" s="83" t="str">
        <f t="shared" si="5"/>
        <v>142581</v>
      </c>
      <c r="K178" s="83">
        <v>2402.152</v>
      </c>
    </row>
    <row r="179" spans="1:11" ht="15">
      <c r="A179" s="81">
        <v>14258</v>
      </c>
      <c r="B179" s="81">
        <v>2</v>
      </c>
      <c r="C179" s="81">
        <v>1.5</v>
      </c>
      <c r="D179" s="81">
        <v>2</v>
      </c>
      <c r="E179" s="81">
        <f t="shared" si="4"/>
        <v>2402.152</v>
      </c>
      <c r="H179" s="83">
        <v>14258</v>
      </c>
      <c r="I179" s="83">
        <v>2</v>
      </c>
      <c r="J179" s="83" t="str">
        <f t="shared" si="5"/>
        <v>142582</v>
      </c>
      <c r="K179" s="83">
        <v>2402.152</v>
      </c>
    </row>
    <row r="180" spans="1:11" ht="15">
      <c r="A180" s="81">
        <v>14259</v>
      </c>
      <c r="B180" s="81">
        <v>1</v>
      </c>
      <c r="C180" s="81">
        <v>2</v>
      </c>
      <c r="D180" s="81">
        <v>1</v>
      </c>
      <c r="E180" s="81">
        <f t="shared" si="4"/>
        <v>365.07810000000001</v>
      </c>
      <c r="H180" s="83">
        <v>14259</v>
      </c>
      <c r="I180" s="83">
        <v>1</v>
      </c>
      <c r="J180" s="83" t="str">
        <f t="shared" si="5"/>
        <v>142591</v>
      </c>
      <c r="K180" s="83">
        <v>365.07810000000001</v>
      </c>
    </row>
    <row r="181" spans="1:11" ht="15">
      <c r="A181" s="81">
        <v>14259</v>
      </c>
      <c r="B181" s="81">
        <v>2</v>
      </c>
      <c r="C181" s="81">
        <v>2.4000000953674299</v>
      </c>
      <c r="D181" s="81">
        <v>2</v>
      </c>
      <c r="E181" s="81">
        <f t="shared" si="4"/>
        <v>365.07810000000001</v>
      </c>
      <c r="H181" s="83">
        <v>14259</v>
      </c>
      <c r="I181" s="83">
        <v>2</v>
      </c>
      <c r="J181" s="83" t="str">
        <f t="shared" si="5"/>
        <v>142592</v>
      </c>
      <c r="K181" s="83">
        <v>365.07810000000001</v>
      </c>
    </row>
    <row r="182" spans="1:11" ht="15">
      <c r="A182" s="81">
        <v>14259</v>
      </c>
      <c r="B182" s="81">
        <v>3</v>
      </c>
      <c r="C182" s="81">
        <v>2.5</v>
      </c>
      <c r="D182" s="81">
        <v>2</v>
      </c>
      <c r="E182" s="81">
        <f t="shared" si="4"/>
        <v>365.07810000000001</v>
      </c>
      <c r="H182" s="83">
        <v>14259</v>
      </c>
      <c r="I182" s="83">
        <v>3</v>
      </c>
      <c r="J182" s="83" t="str">
        <f t="shared" si="5"/>
        <v>142593</v>
      </c>
      <c r="K182" s="83">
        <v>365.07810000000001</v>
      </c>
    </row>
    <row r="183" spans="1:11" ht="15">
      <c r="A183" s="81">
        <v>14346</v>
      </c>
      <c r="B183" s="81">
        <v>1</v>
      </c>
      <c r="C183" s="81">
        <v>1.5</v>
      </c>
      <c r="D183" s="81">
        <v>1</v>
      </c>
      <c r="E183" s="81">
        <f t="shared" si="4"/>
        <v>2402.152</v>
      </c>
      <c r="H183" s="83">
        <v>14346</v>
      </c>
      <c r="I183" s="83">
        <v>1</v>
      </c>
      <c r="J183" s="83" t="str">
        <f t="shared" si="5"/>
        <v>143461</v>
      </c>
      <c r="K183" s="83">
        <v>2402.152</v>
      </c>
    </row>
    <row r="184" spans="1:11" ht="15">
      <c r="A184" s="81">
        <v>14346</v>
      </c>
      <c r="B184" s="81">
        <v>2</v>
      </c>
      <c r="C184" s="81">
        <v>1.5</v>
      </c>
      <c r="D184" s="81">
        <v>1</v>
      </c>
      <c r="E184" s="81">
        <f t="shared" si="4"/>
        <v>2402.152</v>
      </c>
      <c r="H184" s="83">
        <v>14346</v>
      </c>
      <c r="I184" s="83">
        <v>2</v>
      </c>
      <c r="J184" s="83" t="str">
        <f t="shared" si="5"/>
        <v>143462</v>
      </c>
      <c r="K184" s="83">
        <v>2402.152</v>
      </c>
    </row>
    <row r="185" spans="1:11" ht="15">
      <c r="A185" s="81">
        <v>14507</v>
      </c>
      <c r="B185" s="81">
        <v>1</v>
      </c>
      <c r="C185" s="81">
        <v>3</v>
      </c>
      <c r="D185" s="81">
        <v>3</v>
      </c>
      <c r="E185" s="81">
        <f t="shared" si="4"/>
        <v>686.91300000000001</v>
      </c>
      <c r="H185" s="83">
        <v>14507</v>
      </c>
      <c r="I185" s="83">
        <v>1</v>
      </c>
      <c r="J185" s="83" t="str">
        <f t="shared" si="5"/>
        <v>145071</v>
      </c>
      <c r="K185" s="83">
        <v>686.91300000000001</v>
      </c>
    </row>
    <row r="186" spans="1:11" ht="15">
      <c r="A186" s="81">
        <v>14507</v>
      </c>
      <c r="B186" s="81">
        <v>2</v>
      </c>
      <c r="C186" s="81">
        <v>1.8999999761581401</v>
      </c>
      <c r="D186" s="81">
        <v>1</v>
      </c>
      <c r="E186" s="81">
        <f t="shared" si="4"/>
        <v>686.91300000000001</v>
      </c>
      <c r="H186" s="83">
        <v>14507</v>
      </c>
      <c r="I186" s="83">
        <v>2</v>
      </c>
      <c r="J186" s="83" t="str">
        <f t="shared" si="5"/>
        <v>145072</v>
      </c>
      <c r="K186" s="83">
        <v>686.91300000000001</v>
      </c>
    </row>
    <row r="187" spans="1:11" ht="15">
      <c r="A187" s="81">
        <v>14507</v>
      </c>
      <c r="B187" s="81">
        <v>3</v>
      </c>
      <c r="C187" s="81">
        <v>2</v>
      </c>
      <c r="D187" s="81">
        <v>1</v>
      </c>
      <c r="E187" s="81">
        <f t="shared" si="4"/>
        <v>686.91300000000001</v>
      </c>
      <c r="H187" s="83">
        <v>14507</v>
      </c>
      <c r="I187" s="83">
        <v>3</v>
      </c>
      <c r="J187" s="83" t="str">
        <f t="shared" si="5"/>
        <v>145073</v>
      </c>
      <c r="K187" s="83">
        <v>686.91300000000001</v>
      </c>
    </row>
    <row r="188" spans="1:11" ht="15">
      <c r="A188" s="81">
        <v>14613</v>
      </c>
      <c r="B188" s="81">
        <v>1</v>
      </c>
      <c r="C188" s="81">
        <v>1.75</v>
      </c>
      <c r="D188" s="81">
        <v>1</v>
      </c>
      <c r="E188" s="81">
        <f t="shared" si="4"/>
        <v>896.85310000000004</v>
      </c>
      <c r="H188" s="83">
        <v>14613</v>
      </c>
      <c r="I188" s="83">
        <v>1</v>
      </c>
      <c r="J188" s="83" t="str">
        <f t="shared" si="5"/>
        <v>146131</v>
      </c>
      <c r="K188" s="83">
        <v>896.85310000000004</v>
      </c>
    </row>
    <row r="189" spans="1:11" ht="15">
      <c r="A189" s="81">
        <v>14613</v>
      </c>
      <c r="B189" s="81">
        <v>2</v>
      </c>
      <c r="C189" s="81">
        <v>1.5</v>
      </c>
      <c r="D189" s="81">
        <v>1</v>
      </c>
      <c r="E189" s="81">
        <f t="shared" si="4"/>
        <v>896.85310000000004</v>
      </c>
      <c r="H189" s="83">
        <v>14613</v>
      </c>
      <c r="I189" s="83">
        <v>2</v>
      </c>
      <c r="J189" s="83" t="str">
        <f t="shared" si="5"/>
        <v>146132</v>
      </c>
      <c r="K189" s="83">
        <v>896.85310000000004</v>
      </c>
    </row>
    <row r="190" spans="1:11" ht="15">
      <c r="A190" s="81">
        <v>14614</v>
      </c>
      <c r="B190" s="81">
        <v>1</v>
      </c>
      <c r="C190" s="81">
        <v>2.2000000476837198</v>
      </c>
      <c r="D190" s="81">
        <v>1</v>
      </c>
      <c r="E190" s="81">
        <f t="shared" si="4"/>
        <v>1601.434</v>
      </c>
      <c r="H190" s="83">
        <v>14614</v>
      </c>
      <c r="I190" s="83">
        <v>1</v>
      </c>
      <c r="J190" s="83" t="str">
        <f t="shared" si="5"/>
        <v>146141</v>
      </c>
      <c r="K190" s="83">
        <v>1601.434</v>
      </c>
    </row>
    <row r="191" spans="1:11" ht="15">
      <c r="A191" s="81">
        <v>14614</v>
      </c>
      <c r="B191" s="81">
        <v>2</v>
      </c>
      <c r="C191" s="81">
        <v>2.5</v>
      </c>
      <c r="D191" s="81">
        <v>1</v>
      </c>
      <c r="E191" s="81">
        <f t="shared" si="4"/>
        <v>1601.434</v>
      </c>
      <c r="H191" s="83">
        <v>14614</v>
      </c>
      <c r="I191" s="83">
        <v>2</v>
      </c>
      <c r="J191" s="83" t="str">
        <f t="shared" si="5"/>
        <v>146142</v>
      </c>
      <c r="K191" s="83">
        <v>1601.434</v>
      </c>
    </row>
    <row r="192" spans="1:11" ht="15">
      <c r="A192" s="81">
        <v>14614</v>
      </c>
      <c r="B192" s="81">
        <v>3</v>
      </c>
      <c r="C192" s="81">
        <v>2.2000000476837198</v>
      </c>
      <c r="D192" s="81">
        <v>1</v>
      </c>
      <c r="E192" s="81">
        <f t="shared" si="4"/>
        <v>1601.434</v>
      </c>
      <c r="H192" s="83">
        <v>14614</v>
      </c>
      <c r="I192" s="83">
        <v>3</v>
      </c>
      <c r="J192" s="83" t="str">
        <f t="shared" si="5"/>
        <v>146143</v>
      </c>
      <c r="K192" s="83">
        <v>1601.434</v>
      </c>
    </row>
    <row r="193" spans="1:11" ht="15">
      <c r="A193" s="81">
        <v>20021</v>
      </c>
      <c r="B193" s="81">
        <v>1</v>
      </c>
      <c r="C193" s="81">
        <v>2.5</v>
      </c>
      <c r="D193" s="81">
        <v>1</v>
      </c>
      <c r="E193" s="81">
        <f t="shared" si="4"/>
        <v>2514.8809999999999</v>
      </c>
      <c r="H193" s="83">
        <v>20021</v>
      </c>
      <c r="I193" s="83">
        <v>1</v>
      </c>
      <c r="J193" s="83" t="str">
        <f t="shared" si="5"/>
        <v>200211</v>
      </c>
      <c r="K193" s="83">
        <v>2514.8809999999999</v>
      </c>
    </row>
    <row r="194" spans="1:11" ht="15">
      <c r="A194" s="81">
        <v>20021</v>
      </c>
      <c r="B194" s="81">
        <v>2</v>
      </c>
      <c r="C194" s="81">
        <v>0.75</v>
      </c>
      <c r="D194" s="81">
        <v>1</v>
      </c>
      <c r="E194" s="81">
        <f t="shared" si="4"/>
        <v>2514.8809999999999</v>
      </c>
      <c r="H194" s="83">
        <v>20021</v>
      </c>
      <c r="I194" s="83">
        <v>2</v>
      </c>
      <c r="J194" s="83" t="str">
        <f t="shared" si="5"/>
        <v>200212</v>
      </c>
      <c r="K194" s="83">
        <v>2514.8809999999999</v>
      </c>
    </row>
    <row r="195" spans="1:11" ht="15">
      <c r="A195" s="81">
        <v>20021</v>
      </c>
      <c r="B195" s="81">
        <v>3</v>
      </c>
      <c r="C195" s="81">
        <v>1.5</v>
      </c>
      <c r="D195" s="81">
        <v>1</v>
      </c>
      <c r="E195" s="81">
        <f t="shared" ref="E195:E258" si="6">VLOOKUP(A195&amp;B195,$J$2:$K$553,2,FALSE)</f>
        <v>2514.8809999999999</v>
      </c>
      <c r="H195" s="83">
        <v>20021</v>
      </c>
      <c r="I195" s="83">
        <v>3</v>
      </c>
      <c r="J195" s="83" t="str">
        <f t="shared" ref="J195:J258" si="7">H195&amp;I195</f>
        <v>200213</v>
      </c>
      <c r="K195" s="83">
        <v>2514.8809999999999</v>
      </c>
    </row>
    <row r="196" spans="1:11" ht="15">
      <c r="A196" s="81">
        <v>20101</v>
      </c>
      <c r="B196" s="81">
        <v>1</v>
      </c>
      <c r="C196" s="81">
        <v>2</v>
      </c>
      <c r="D196" s="81">
        <v>1</v>
      </c>
      <c r="E196" s="81">
        <f t="shared" si="6"/>
        <v>2514.8809999999999</v>
      </c>
      <c r="H196" s="83">
        <v>20101</v>
      </c>
      <c r="I196" s="83">
        <v>1</v>
      </c>
      <c r="J196" s="83" t="str">
        <f t="shared" si="7"/>
        <v>201011</v>
      </c>
      <c r="K196" s="83">
        <v>2514.8809999999999</v>
      </c>
    </row>
    <row r="197" spans="1:11" ht="15">
      <c r="A197" s="81">
        <v>20101</v>
      </c>
      <c r="B197" s="81">
        <v>2</v>
      </c>
      <c r="C197" s="81">
        <v>5</v>
      </c>
      <c r="D197" s="81">
        <v>1</v>
      </c>
      <c r="E197" s="81">
        <f t="shared" si="6"/>
        <v>2514.8809999999999</v>
      </c>
      <c r="H197" s="83">
        <v>20101</v>
      </c>
      <c r="I197" s="83">
        <v>2</v>
      </c>
      <c r="J197" s="83" t="str">
        <f t="shared" si="7"/>
        <v>201012</v>
      </c>
      <c r="K197" s="83">
        <v>2514.8809999999999</v>
      </c>
    </row>
    <row r="198" spans="1:11" ht="15">
      <c r="A198" s="81">
        <v>20101</v>
      </c>
      <c r="B198" s="81">
        <v>3</v>
      </c>
      <c r="C198" s="81">
        <v>5</v>
      </c>
      <c r="D198" s="81">
        <v>1</v>
      </c>
      <c r="E198" s="81">
        <f t="shared" si="6"/>
        <v>2514.8809999999999</v>
      </c>
      <c r="H198" s="83">
        <v>20101</v>
      </c>
      <c r="I198" s="83">
        <v>3</v>
      </c>
      <c r="J198" s="83" t="str">
        <f t="shared" si="7"/>
        <v>201013</v>
      </c>
      <c r="K198" s="83">
        <v>2514.8809999999999</v>
      </c>
    </row>
    <row r="199" spans="1:11" ht="15">
      <c r="A199" s="81">
        <v>20119</v>
      </c>
      <c r="B199" s="81">
        <v>1</v>
      </c>
      <c r="C199" s="81">
        <v>1.5</v>
      </c>
      <c r="D199" s="81">
        <v>1</v>
      </c>
      <c r="E199" s="81">
        <f t="shared" si="6"/>
        <v>2514.8809999999999</v>
      </c>
      <c r="H199" s="83">
        <v>20119</v>
      </c>
      <c r="I199" s="83">
        <v>1</v>
      </c>
      <c r="J199" s="83" t="str">
        <f t="shared" si="7"/>
        <v>201191</v>
      </c>
      <c r="K199" s="83">
        <v>2514.8809999999999</v>
      </c>
    </row>
    <row r="200" spans="1:11" ht="15">
      <c r="A200" s="81">
        <v>20119</v>
      </c>
      <c r="B200" s="81">
        <v>2</v>
      </c>
      <c r="C200" s="81">
        <v>1.5</v>
      </c>
      <c r="D200" s="81">
        <v>1</v>
      </c>
      <c r="E200" s="81">
        <f t="shared" si="6"/>
        <v>2514.8809999999999</v>
      </c>
      <c r="H200" s="83">
        <v>20119</v>
      </c>
      <c r="I200" s="83">
        <v>2</v>
      </c>
      <c r="J200" s="83" t="str">
        <f t="shared" si="7"/>
        <v>201192</v>
      </c>
      <c r="K200" s="83">
        <v>2514.8809999999999</v>
      </c>
    </row>
    <row r="201" spans="1:11" ht="15">
      <c r="A201" s="81">
        <v>20119</v>
      </c>
      <c r="B201" s="81">
        <v>3</v>
      </c>
      <c r="C201" s="81">
        <v>1.5</v>
      </c>
      <c r="D201" s="81">
        <v>1</v>
      </c>
      <c r="E201" s="81">
        <f t="shared" si="6"/>
        <v>2514.8809999999999</v>
      </c>
      <c r="H201" s="83">
        <v>20119</v>
      </c>
      <c r="I201" s="83">
        <v>3</v>
      </c>
      <c r="J201" s="83" t="str">
        <f t="shared" si="7"/>
        <v>201193</v>
      </c>
      <c r="K201" s="83">
        <v>2514.8809999999999</v>
      </c>
    </row>
    <row r="202" spans="1:11" ht="15">
      <c r="A202" s="81">
        <v>20165</v>
      </c>
      <c r="B202" s="81">
        <v>1</v>
      </c>
      <c r="C202" s="81">
        <v>2</v>
      </c>
      <c r="D202" s="81">
        <v>1</v>
      </c>
      <c r="E202" s="81">
        <f t="shared" si="6"/>
        <v>2514.8809999999999</v>
      </c>
      <c r="H202" s="83">
        <v>20165</v>
      </c>
      <c r="I202" s="83">
        <v>1</v>
      </c>
      <c r="J202" s="83" t="str">
        <f t="shared" si="7"/>
        <v>201651</v>
      </c>
      <c r="K202" s="83">
        <v>2514.8809999999999</v>
      </c>
    </row>
    <row r="203" spans="1:11" ht="15">
      <c r="A203" s="81">
        <v>20165</v>
      </c>
      <c r="B203" s="81">
        <v>2</v>
      </c>
      <c r="C203" s="81">
        <v>2.5</v>
      </c>
      <c r="D203" s="81">
        <v>1</v>
      </c>
      <c r="E203" s="81">
        <f t="shared" si="6"/>
        <v>2514.8809999999999</v>
      </c>
      <c r="H203" s="83">
        <v>20165</v>
      </c>
      <c r="I203" s="83">
        <v>2</v>
      </c>
      <c r="J203" s="83" t="str">
        <f t="shared" si="7"/>
        <v>201652</v>
      </c>
      <c r="K203" s="83">
        <v>2514.8809999999999</v>
      </c>
    </row>
    <row r="204" spans="1:11" ht="15">
      <c r="A204" s="81">
        <v>20165</v>
      </c>
      <c r="B204" s="81">
        <v>3</v>
      </c>
      <c r="C204" s="81">
        <v>2</v>
      </c>
      <c r="D204" s="81">
        <v>2</v>
      </c>
      <c r="E204" s="81">
        <f t="shared" si="6"/>
        <v>2514.8809999999999</v>
      </c>
      <c r="H204" s="83">
        <v>20165</v>
      </c>
      <c r="I204" s="83">
        <v>3</v>
      </c>
      <c r="J204" s="83" t="str">
        <f t="shared" si="7"/>
        <v>201653</v>
      </c>
      <c r="K204" s="83">
        <v>2514.8809999999999</v>
      </c>
    </row>
    <row r="205" spans="1:11" ht="15">
      <c r="A205" s="81">
        <v>20193</v>
      </c>
      <c r="B205" s="81">
        <v>1</v>
      </c>
      <c r="C205" s="81">
        <v>5</v>
      </c>
      <c r="D205" s="81">
        <v>1</v>
      </c>
      <c r="E205" s="81">
        <f t="shared" si="6"/>
        <v>2514.8809999999999</v>
      </c>
      <c r="H205" s="83">
        <v>20193</v>
      </c>
      <c r="I205" s="83">
        <v>1</v>
      </c>
      <c r="J205" s="83" t="str">
        <f t="shared" si="7"/>
        <v>201931</v>
      </c>
      <c r="K205" s="83">
        <v>2514.8809999999999</v>
      </c>
    </row>
    <row r="206" spans="1:11" ht="15">
      <c r="A206" s="81">
        <v>20193</v>
      </c>
      <c r="B206" s="81">
        <v>2</v>
      </c>
      <c r="C206" s="81">
        <v>2.5</v>
      </c>
      <c r="D206" s="81">
        <v>1</v>
      </c>
      <c r="E206" s="81">
        <f t="shared" si="6"/>
        <v>2514.8809999999999</v>
      </c>
      <c r="H206" s="83">
        <v>20193</v>
      </c>
      <c r="I206" s="83">
        <v>2</v>
      </c>
      <c r="J206" s="83" t="str">
        <f t="shared" si="7"/>
        <v>201932</v>
      </c>
      <c r="K206" s="83">
        <v>2514.8809999999999</v>
      </c>
    </row>
    <row r="207" spans="1:11" ht="15">
      <c r="A207" s="81">
        <v>20195</v>
      </c>
      <c r="B207" s="81">
        <v>1</v>
      </c>
      <c r="C207" s="81">
        <v>1.5</v>
      </c>
      <c r="D207" s="81">
        <v>1</v>
      </c>
      <c r="E207" s="81">
        <f t="shared" si="6"/>
        <v>3772.3220000000001</v>
      </c>
      <c r="H207" s="83">
        <v>20193</v>
      </c>
      <c r="I207" s="83">
        <v>3</v>
      </c>
      <c r="J207" s="83" t="str">
        <f t="shared" si="7"/>
        <v>201933</v>
      </c>
      <c r="K207" s="83">
        <v>2514.8809999999999</v>
      </c>
    </row>
    <row r="208" spans="1:11" ht="15">
      <c r="A208" s="81">
        <v>20195</v>
      </c>
      <c r="B208" s="81">
        <v>2</v>
      </c>
      <c r="C208" s="81">
        <v>2.5</v>
      </c>
      <c r="D208" s="81">
        <v>1</v>
      </c>
      <c r="E208" s="81">
        <f t="shared" si="6"/>
        <v>3772.3220000000001</v>
      </c>
      <c r="H208" s="83">
        <v>20195</v>
      </c>
      <c r="I208" s="83">
        <v>1</v>
      </c>
      <c r="J208" s="83" t="str">
        <f t="shared" si="7"/>
        <v>201951</v>
      </c>
      <c r="K208" s="83">
        <v>3772.3220000000001</v>
      </c>
    </row>
    <row r="209" spans="1:11" ht="15">
      <c r="A209" s="81">
        <v>20241</v>
      </c>
      <c r="B209" s="81">
        <v>1</v>
      </c>
      <c r="C209" s="81">
        <v>1</v>
      </c>
      <c r="D209" s="81">
        <v>1</v>
      </c>
      <c r="E209" s="81">
        <f t="shared" si="6"/>
        <v>2514.8809999999999</v>
      </c>
      <c r="H209" s="83">
        <v>20195</v>
      </c>
      <c r="I209" s="83">
        <v>2</v>
      </c>
      <c r="J209" s="83" t="str">
        <f t="shared" si="7"/>
        <v>201952</v>
      </c>
      <c r="K209" s="83">
        <v>3772.3220000000001</v>
      </c>
    </row>
    <row r="210" spans="1:11" ht="15">
      <c r="A210" s="81">
        <v>20241</v>
      </c>
      <c r="B210" s="81">
        <v>2</v>
      </c>
      <c r="C210" s="81">
        <v>2.5</v>
      </c>
      <c r="D210" s="81">
        <v>1</v>
      </c>
      <c r="E210" s="81">
        <f t="shared" si="6"/>
        <v>2514.8809999999999</v>
      </c>
      <c r="H210" s="83">
        <v>20241</v>
      </c>
      <c r="I210" s="83">
        <v>1</v>
      </c>
      <c r="J210" s="83" t="str">
        <f t="shared" si="7"/>
        <v>202411</v>
      </c>
      <c r="K210" s="83">
        <v>2514.8809999999999</v>
      </c>
    </row>
    <row r="211" spans="1:11" ht="15">
      <c r="A211" s="81">
        <v>20241</v>
      </c>
      <c r="B211" s="81">
        <v>3</v>
      </c>
      <c r="C211" s="81">
        <v>2.5</v>
      </c>
      <c r="D211" s="81">
        <v>1</v>
      </c>
      <c r="E211" s="81">
        <f t="shared" si="6"/>
        <v>2514.8809999999999</v>
      </c>
      <c r="H211" s="83">
        <v>20241</v>
      </c>
      <c r="I211" s="83">
        <v>2</v>
      </c>
      <c r="J211" s="83" t="str">
        <f t="shared" si="7"/>
        <v>202412</v>
      </c>
      <c r="K211" s="83">
        <v>2514.8809999999999</v>
      </c>
    </row>
    <row r="212" spans="1:11" ht="15">
      <c r="A212" s="81">
        <v>20289</v>
      </c>
      <c r="B212" s="81">
        <v>1</v>
      </c>
      <c r="C212" s="81">
        <v>2.5</v>
      </c>
      <c r="D212" s="81">
        <v>1</v>
      </c>
      <c r="E212" s="81">
        <f t="shared" si="6"/>
        <v>2514.8809999999999</v>
      </c>
      <c r="H212" s="83">
        <v>20241</v>
      </c>
      <c r="I212" s="83">
        <v>3</v>
      </c>
      <c r="J212" s="83" t="str">
        <f t="shared" si="7"/>
        <v>202413</v>
      </c>
      <c r="K212" s="83">
        <v>2514.8809999999999</v>
      </c>
    </row>
    <row r="213" spans="1:11" ht="15">
      <c r="A213" s="81">
        <v>20289</v>
      </c>
      <c r="B213" s="81">
        <v>2</v>
      </c>
      <c r="C213" s="81">
        <v>1.5</v>
      </c>
      <c r="D213" s="81">
        <v>1</v>
      </c>
      <c r="E213" s="81">
        <f t="shared" si="6"/>
        <v>2514.8809999999999</v>
      </c>
      <c r="H213" s="83">
        <v>20289</v>
      </c>
      <c r="I213" s="83">
        <v>1</v>
      </c>
      <c r="J213" s="83" t="str">
        <f t="shared" si="7"/>
        <v>202891</v>
      </c>
      <c r="K213" s="83">
        <v>2514.8809999999999</v>
      </c>
    </row>
    <row r="214" spans="1:11" ht="15">
      <c r="A214" s="81">
        <v>20289</v>
      </c>
      <c r="B214" s="81">
        <v>3</v>
      </c>
      <c r="C214" s="81">
        <v>2.5</v>
      </c>
      <c r="D214" s="81">
        <v>1</v>
      </c>
      <c r="E214" s="81">
        <f t="shared" si="6"/>
        <v>2514.8809999999999</v>
      </c>
      <c r="H214" s="83">
        <v>20289</v>
      </c>
      <c r="I214" s="83">
        <v>2</v>
      </c>
      <c r="J214" s="83" t="str">
        <f t="shared" si="7"/>
        <v>202892</v>
      </c>
      <c r="K214" s="83">
        <v>2514.8809999999999</v>
      </c>
    </row>
    <row r="215" spans="1:11" ht="15">
      <c r="A215" s="81">
        <v>20532</v>
      </c>
      <c r="B215" s="81">
        <v>1</v>
      </c>
      <c r="C215" s="81">
        <v>1.5</v>
      </c>
      <c r="D215" s="81">
        <v>1</v>
      </c>
      <c r="E215" s="81">
        <f t="shared" si="6"/>
        <v>2514.8809999999999</v>
      </c>
      <c r="H215" s="83">
        <v>20289</v>
      </c>
      <c r="I215" s="83">
        <v>3</v>
      </c>
      <c r="J215" s="83" t="str">
        <f t="shared" si="7"/>
        <v>202893</v>
      </c>
      <c r="K215" s="83">
        <v>2514.8809999999999</v>
      </c>
    </row>
    <row r="216" spans="1:11" ht="15">
      <c r="A216" s="81">
        <v>20532</v>
      </c>
      <c r="B216" s="81">
        <v>2</v>
      </c>
      <c r="C216" s="81">
        <v>3</v>
      </c>
      <c r="D216" s="81">
        <v>1</v>
      </c>
      <c r="E216" s="81">
        <f t="shared" si="6"/>
        <v>2514.8809999999999</v>
      </c>
      <c r="H216" s="83">
        <v>20532</v>
      </c>
      <c r="I216" s="83">
        <v>1</v>
      </c>
      <c r="J216" s="83" t="str">
        <f t="shared" si="7"/>
        <v>205321</v>
      </c>
      <c r="K216" s="83">
        <v>2514.8809999999999</v>
      </c>
    </row>
    <row r="217" spans="1:11" ht="15">
      <c r="A217" s="81">
        <v>20532</v>
      </c>
      <c r="B217" s="81">
        <v>3</v>
      </c>
      <c r="C217" s="81">
        <v>4</v>
      </c>
      <c r="D217" s="81">
        <v>1</v>
      </c>
      <c r="E217" s="81">
        <f t="shared" si="6"/>
        <v>2514.8809999999999</v>
      </c>
      <c r="H217" s="83">
        <v>20532</v>
      </c>
      <c r="I217" s="83">
        <v>2</v>
      </c>
      <c r="J217" s="83" t="str">
        <f t="shared" si="7"/>
        <v>205322</v>
      </c>
      <c r="K217" s="83">
        <v>2514.8809999999999</v>
      </c>
    </row>
    <row r="218" spans="1:11" ht="15">
      <c r="A218" s="81">
        <v>20566</v>
      </c>
      <c r="B218" s="81">
        <v>1</v>
      </c>
      <c r="C218" s="81">
        <v>1.25</v>
      </c>
      <c r="D218" s="81">
        <v>1</v>
      </c>
      <c r="E218" s="81">
        <f t="shared" si="6"/>
        <v>2514.8809999999999</v>
      </c>
      <c r="H218" s="83">
        <v>20532</v>
      </c>
      <c r="I218" s="83">
        <v>3</v>
      </c>
      <c r="J218" s="83" t="str">
        <f t="shared" si="7"/>
        <v>205323</v>
      </c>
      <c r="K218" s="83">
        <v>2514.8809999999999</v>
      </c>
    </row>
    <row r="219" spans="1:11" ht="15">
      <c r="A219" s="81">
        <v>20566</v>
      </c>
      <c r="B219" s="81">
        <v>2</v>
      </c>
      <c r="C219" s="81">
        <v>1.5</v>
      </c>
      <c r="D219" s="81">
        <v>1</v>
      </c>
      <c r="E219" s="81">
        <f t="shared" si="6"/>
        <v>2514.8809999999999</v>
      </c>
      <c r="H219" s="83">
        <v>20566</v>
      </c>
      <c r="I219" s="83">
        <v>1</v>
      </c>
      <c r="J219" s="83" t="str">
        <f t="shared" si="7"/>
        <v>205661</v>
      </c>
      <c r="K219" s="83">
        <v>2514.8809999999999</v>
      </c>
    </row>
    <row r="220" spans="1:11" ht="15">
      <c r="A220" s="81">
        <v>20566</v>
      </c>
      <c r="B220" s="81">
        <v>3</v>
      </c>
      <c r="C220" s="81">
        <v>1</v>
      </c>
      <c r="D220" s="81">
        <v>1</v>
      </c>
      <c r="E220" s="81">
        <f t="shared" si="6"/>
        <v>2514.8809999999999</v>
      </c>
      <c r="H220" s="83">
        <v>20566</v>
      </c>
      <c r="I220" s="83">
        <v>2</v>
      </c>
      <c r="J220" s="83" t="str">
        <f t="shared" si="7"/>
        <v>205662</v>
      </c>
      <c r="K220" s="83">
        <v>2514.8809999999999</v>
      </c>
    </row>
    <row r="221" spans="1:11" ht="15">
      <c r="A221" s="81">
        <v>20581</v>
      </c>
      <c r="B221" s="81">
        <v>1</v>
      </c>
      <c r="C221" s="81">
        <v>2.5</v>
      </c>
      <c r="D221" s="81">
        <v>1</v>
      </c>
      <c r="E221" s="81">
        <f t="shared" si="6"/>
        <v>3772.3220000000001</v>
      </c>
      <c r="H221" s="83">
        <v>20566</v>
      </c>
      <c r="I221" s="83">
        <v>3</v>
      </c>
      <c r="J221" s="83" t="str">
        <f t="shared" si="7"/>
        <v>205663</v>
      </c>
      <c r="K221" s="83">
        <v>2514.8809999999999</v>
      </c>
    </row>
    <row r="222" spans="1:11" ht="15">
      <c r="A222" s="81">
        <v>20581</v>
      </c>
      <c r="B222" s="81">
        <v>2</v>
      </c>
      <c r="C222" s="81">
        <v>2</v>
      </c>
      <c r="D222" s="81">
        <v>1</v>
      </c>
      <c r="E222" s="81">
        <f t="shared" si="6"/>
        <v>3772.3220000000001</v>
      </c>
      <c r="H222" s="83">
        <v>20581</v>
      </c>
      <c r="I222" s="83">
        <v>1</v>
      </c>
      <c r="J222" s="83" t="str">
        <f t="shared" si="7"/>
        <v>205811</v>
      </c>
      <c r="K222" s="83">
        <v>3772.3220000000001</v>
      </c>
    </row>
    <row r="223" spans="1:11" ht="15">
      <c r="A223" s="81">
        <v>20665</v>
      </c>
      <c r="B223" s="81">
        <v>1</v>
      </c>
      <c r="C223" s="81">
        <v>1.5</v>
      </c>
      <c r="D223" s="81">
        <v>2</v>
      </c>
      <c r="E223" s="81">
        <f t="shared" si="6"/>
        <v>2514.8809999999999</v>
      </c>
      <c r="H223" s="83">
        <v>20581</v>
      </c>
      <c r="I223" s="83">
        <v>2</v>
      </c>
      <c r="J223" s="83" t="str">
        <f t="shared" si="7"/>
        <v>205812</v>
      </c>
      <c r="K223" s="83">
        <v>3772.3220000000001</v>
      </c>
    </row>
    <row r="224" spans="1:11" ht="15">
      <c r="A224" s="81">
        <v>20665</v>
      </c>
      <c r="B224" s="81">
        <v>2</v>
      </c>
      <c r="C224" s="81">
        <v>1</v>
      </c>
      <c r="D224" s="81">
        <v>2</v>
      </c>
      <c r="E224" s="81">
        <f t="shared" si="6"/>
        <v>2514.8809999999999</v>
      </c>
      <c r="H224" s="83">
        <v>20665</v>
      </c>
      <c r="I224" s="83">
        <v>1</v>
      </c>
      <c r="J224" s="83" t="str">
        <f t="shared" si="7"/>
        <v>206651</v>
      </c>
      <c r="K224" s="83">
        <v>2514.8809999999999</v>
      </c>
    </row>
    <row r="225" spans="1:11" ht="15">
      <c r="A225" s="81">
        <v>20665</v>
      </c>
      <c r="B225" s="81">
        <v>3</v>
      </c>
      <c r="C225" s="81">
        <v>1.5</v>
      </c>
      <c r="D225" s="81">
        <v>2</v>
      </c>
      <c r="E225" s="81">
        <f t="shared" si="6"/>
        <v>2514.8809999999999</v>
      </c>
      <c r="H225" s="83">
        <v>20665</v>
      </c>
      <c r="I225" s="83">
        <v>2</v>
      </c>
      <c r="J225" s="83" t="str">
        <f t="shared" si="7"/>
        <v>206652</v>
      </c>
      <c r="K225" s="83">
        <v>2514.8809999999999</v>
      </c>
    </row>
    <row r="226" spans="1:11" ht="15">
      <c r="A226" s="81">
        <v>20705</v>
      </c>
      <c r="B226" s="81">
        <v>1</v>
      </c>
      <c r="C226" s="81">
        <v>2.5</v>
      </c>
      <c r="D226" s="81">
        <v>1</v>
      </c>
      <c r="E226" s="81">
        <f t="shared" si="6"/>
        <v>2514.8809999999999</v>
      </c>
      <c r="H226" s="83">
        <v>20665</v>
      </c>
      <c r="I226" s="83">
        <v>3</v>
      </c>
      <c r="J226" s="83" t="str">
        <f t="shared" si="7"/>
        <v>206653</v>
      </c>
      <c r="K226" s="83">
        <v>2514.8809999999999</v>
      </c>
    </row>
    <row r="227" spans="1:11" ht="15">
      <c r="A227" s="81">
        <v>20705</v>
      </c>
      <c r="B227" s="81">
        <v>2</v>
      </c>
      <c r="C227" s="81">
        <v>2</v>
      </c>
      <c r="D227" s="81">
        <v>1</v>
      </c>
      <c r="E227" s="81">
        <f t="shared" si="6"/>
        <v>2514.8809999999999</v>
      </c>
      <c r="H227" s="83">
        <v>20705</v>
      </c>
      <c r="I227" s="83">
        <v>1</v>
      </c>
      <c r="J227" s="83" t="str">
        <f t="shared" si="7"/>
        <v>207051</v>
      </c>
      <c r="K227" s="83">
        <v>2514.8809999999999</v>
      </c>
    </row>
    <row r="228" spans="1:11" ht="15">
      <c r="A228" s="81">
        <v>20705</v>
      </c>
      <c r="B228" s="81">
        <v>3</v>
      </c>
      <c r="C228" s="81">
        <v>2.5</v>
      </c>
      <c r="D228" s="81">
        <v>1</v>
      </c>
      <c r="E228" s="81">
        <f t="shared" si="6"/>
        <v>2514.8809999999999</v>
      </c>
      <c r="H228" s="83">
        <v>20705</v>
      </c>
      <c r="I228" s="83">
        <v>2</v>
      </c>
      <c r="J228" s="83" t="str">
        <f t="shared" si="7"/>
        <v>207052</v>
      </c>
      <c r="K228" s="83">
        <v>2514.8809999999999</v>
      </c>
    </row>
    <row r="229" spans="1:11" ht="15">
      <c r="A229" s="81">
        <v>20803</v>
      </c>
      <c r="B229" s="81">
        <v>1</v>
      </c>
      <c r="C229" s="81">
        <v>2</v>
      </c>
      <c r="D229" s="81">
        <v>1</v>
      </c>
      <c r="E229" s="81">
        <f t="shared" si="6"/>
        <v>2514.8809999999999</v>
      </c>
      <c r="H229" s="83">
        <v>20705</v>
      </c>
      <c r="I229" s="83">
        <v>3</v>
      </c>
      <c r="J229" s="83" t="str">
        <f t="shared" si="7"/>
        <v>207053</v>
      </c>
      <c r="K229" s="83">
        <v>2514.8809999999999</v>
      </c>
    </row>
    <row r="230" spans="1:11" ht="15">
      <c r="A230" s="81">
        <v>20803</v>
      </c>
      <c r="B230" s="81">
        <v>2</v>
      </c>
      <c r="C230" s="81">
        <v>1.5</v>
      </c>
      <c r="D230" s="81">
        <v>1</v>
      </c>
      <c r="E230" s="81">
        <f t="shared" si="6"/>
        <v>2514.8809999999999</v>
      </c>
      <c r="H230" s="83">
        <v>20803</v>
      </c>
      <c r="I230" s="83">
        <v>1</v>
      </c>
      <c r="J230" s="83" t="str">
        <f t="shared" si="7"/>
        <v>208031</v>
      </c>
      <c r="K230" s="83">
        <v>2514.8809999999999</v>
      </c>
    </row>
    <row r="231" spans="1:11" ht="15">
      <c r="A231" s="81">
        <v>20803</v>
      </c>
      <c r="B231" s="81">
        <v>3</v>
      </c>
      <c r="C231" s="81">
        <v>1.5</v>
      </c>
      <c r="D231" s="81">
        <v>1</v>
      </c>
      <c r="E231" s="81">
        <f t="shared" si="6"/>
        <v>2514.8809999999999</v>
      </c>
      <c r="H231" s="83">
        <v>20803</v>
      </c>
      <c r="I231" s="83">
        <v>2</v>
      </c>
      <c r="J231" s="83" t="str">
        <f t="shared" si="7"/>
        <v>208032</v>
      </c>
      <c r="K231" s="83">
        <v>2514.8809999999999</v>
      </c>
    </row>
    <row r="232" spans="1:11" ht="15">
      <c r="A232" s="81">
        <v>21000</v>
      </c>
      <c r="B232" s="81">
        <v>1</v>
      </c>
      <c r="C232" s="81">
        <v>3</v>
      </c>
      <c r="D232" s="81">
        <v>1</v>
      </c>
      <c r="E232" s="81">
        <f t="shared" si="6"/>
        <v>2514.8809999999999</v>
      </c>
      <c r="H232" s="83">
        <v>20803</v>
      </c>
      <c r="I232" s="83">
        <v>3</v>
      </c>
      <c r="J232" s="83" t="str">
        <f t="shared" si="7"/>
        <v>208033</v>
      </c>
      <c r="K232" s="83">
        <v>2514.8809999999999</v>
      </c>
    </row>
    <row r="233" spans="1:11" ht="15">
      <c r="A233" s="81">
        <v>21000</v>
      </c>
      <c r="B233" s="81">
        <v>2</v>
      </c>
      <c r="C233" s="81">
        <v>2</v>
      </c>
      <c r="D233" s="81">
        <v>1</v>
      </c>
      <c r="E233" s="81">
        <f t="shared" si="6"/>
        <v>2514.8809999999999</v>
      </c>
      <c r="H233" s="83">
        <v>21000</v>
      </c>
      <c r="I233" s="83">
        <v>1</v>
      </c>
      <c r="J233" s="83" t="str">
        <f t="shared" si="7"/>
        <v>210001</v>
      </c>
      <c r="K233" s="83">
        <v>2514.8809999999999</v>
      </c>
    </row>
    <row r="234" spans="1:11" ht="15">
      <c r="A234" s="81">
        <v>21000</v>
      </c>
      <c r="B234" s="81">
        <v>3</v>
      </c>
      <c r="C234" s="81">
        <v>5</v>
      </c>
      <c r="D234" s="81">
        <v>1</v>
      </c>
      <c r="E234" s="81">
        <f t="shared" si="6"/>
        <v>2514.8809999999999</v>
      </c>
      <c r="H234" s="83">
        <v>21000</v>
      </c>
      <c r="I234" s="83">
        <v>2</v>
      </c>
      <c r="J234" s="83" t="str">
        <f t="shared" si="7"/>
        <v>210002</v>
      </c>
      <c r="K234" s="83">
        <v>2514.8809999999999</v>
      </c>
    </row>
    <row r="235" spans="1:11" ht="15">
      <c r="A235" s="81">
        <v>21268</v>
      </c>
      <c r="B235" s="81">
        <v>1</v>
      </c>
      <c r="C235" s="81">
        <v>1.75</v>
      </c>
      <c r="D235" s="81">
        <v>1</v>
      </c>
      <c r="E235" s="81">
        <f t="shared" si="6"/>
        <v>2514.8809999999999</v>
      </c>
      <c r="H235" s="83">
        <v>21000</v>
      </c>
      <c r="I235" s="83">
        <v>3</v>
      </c>
      <c r="J235" s="83" t="str">
        <f t="shared" si="7"/>
        <v>210003</v>
      </c>
      <c r="K235" s="83">
        <v>2514.8809999999999</v>
      </c>
    </row>
    <row r="236" spans="1:11" ht="15">
      <c r="A236" s="81">
        <v>21268</v>
      </c>
      <c r="B236" s="81">
        <v>2</v>
      </c>
      <c r="C236" s="81">
        <v>3.5</v>
      </c>
      <c r="D236" s="81">
        <v>1</v>
      </c>
      <c r="E236" s="81">
        <f t="shared" si="6"/>
        <v>2514.8809999999999</v>
      </c>
      <c r="H236" s="83">
        <v>21268</v>
      </c>
      <c r="I236" s="83">
        <v>1</v>
      </c>
      <c r="J236" s="83" t="str">
        <f t="shared" si="7"/>
        <v>212681</v>
      </c>
      <c r="K236" s="83">
        <v>2514.8809999999999</v>
      </c>
    </row>
    <row r="237" spans="1:11" ht="15">
      <c r="A237" s="81">
        <v>21268</v>
      </c>
      <c r="B237" s="81">
        <v>3</v>
      </c>
      <c r="C237" s="81">
        <v>2</v>
      </c>
      <c r="D237" s="81">
        <v>1</v>
      </c>
      <c r="E237" s="81">
        <f t="shared" si="6"/>
        <v>2514.8809999999999</v>
      </c>
      <c r="H237" s="83">
        <v>21268</v>
      </c>
      <c r="I237" s="83">
        <v>2</v>
      </c>
      <c r="J237" s="83" t="str">
        <f t="shared" si="7"/>
        <v>212682</v>
      </c>
      <c r="K237" s="83">
        <v>2514.8809999999999</v>
      </c>
    </row>
    <row r="238" spans="1:11" ht="15">
      <c r="A238" s="81">
        <v>21346</v>
      </c>
      <c r="B238" s="81">
        <v>1</v>
      </c>
      <c r="C238" s="81">
        <v>2.5</v>
      </c>
      <c r="D238" s="81">
        <v>1</v>
      </c>
      <c r="E238" s="81">
        <f t="shared" si="6"/>
        <v>2514.8809999999999</v>
      </c>
      <c r="H238" s="83">
        <v>21268</v>
      </c>
      <c r="I238" s="83">
        <v>3</v>
      </c>
      <c r="J238" s="83" t="str">
        <f t="shared" si="7"/>
        <v>212683</v>
      </c>
      <c r="K238" s="83">
        <v>2514.8809999999999</v>
      </c>
    </row>
    <row r="239" spans="1:11" ht="15">
      <c r="A239" s="81">
        <v>21346</v>
      </c>
      <c r="B239" s="81">
        <v>2</v>
      </c>
      <c r="C239" s="81">
        <v>2.5</v>
      </c>
      <c r="D239" s="81">
        <v>1</v>
      </c>
      <c r="E239" s="81">
        <f t="shared" si="6"/>
        <v>2514.8809999999999</v>
      </c>
      <c r="H239" s="83">
        <v>21346</v>
      </c>
      <c r="I239" s="83">
        <v>1</v>
      </c>
      <c r="J239" s="83" t="str">
        <f t="shared" si="7"/>
        <v>213461</v>
      </c>
      <c r="K239" s="83">
        <v>2514.8809999999999</v>
      </c>
    </row>
    <row r="240" spans="1:11" ht="15">
      <c r="A240" s="81">
        <v>21346</v>
      </c>
      <c r="B240" s="81">
        <v>3</v>
      </c>
      <c r="C240" s="81">
        <v>2.5</v>
      </c>
      <c r="D240" s="81">
        <v>1</v>
      </c>
      <c r="E240" s="81">
        <f t="shared" si="6"/>
        <v>2514.8809999999999</v>
      </c>
      <c r="H240" s="83">
        <v>21346</v>
      </c>
      <c r="I240" s="83">
        <v>2</v>
      </c>
      <c r="J240" s="83" t="str">
        <f t="shared" si="7"/>
        <v>213462</v>
      </c>
      <c r="K240" s="83">
        <v>2514.8809999999999</v>
      </c>
    </row>
    <row r="241" spans="1:11" ht="15">
      <c r="A241" s="81">
        <v>21424</v>
      </c>
      <c r="B241" s="81">
        <v>1</v>
      </c>
      <c r="C241" s="81">
        <v>2</v>
      </c>
      <c r="D241" s="81">
        <v>1</v>
      </c>
      <c r="E241" s="81">
        <f t="shared" si="6"/>
        <v>2514.8809999999999</v>
      </c>
      <c r="H241" s="83">
        <v>21346</v>
      </c>
      <c r="I241" s="83">
        <v>3</v>
      </c>
      <c r="J241" s="83" t="str">
        <f t="shared" si="7"/>
        <v>213463</v>
      </c>
      <c r="K241" s="83">
        <v>2514.8809999999999</v>
      </c>
    </row>
    <row r="242" spans="1:11" ht="15">
      <c r="A242" s="81">
        <v>21424</v>
      </c>
      <c r="B242" s="81">
        <v>2</v>
      </c>
      <c r="C242" s="81">
        <v>1.5</v>
      </c>
      <c r="D242" s="81">
        <v>1</v>
      </c>
      <c r="E242" s="81">
        <f t="shared" si="6"/>
        <v>2514.8809999999999</v>
      </c>
      <c r="H242" s="83">
        <v>21424</v>
      </c>
      <c r="I242" s="83">
        <v>1</v>
      </c>
      <c r="J242" s="83" t="str">
        <f t="shared" si="7"/>
        <v>214241</v>
      </c>
      <c r="K242" s="83">
        <v>2514.8809999999999</v>
      </c>
    </row>
    <row r="243" spans="1:11" ht="15">
      <c r="A243" s="81">
        <v>21424</v>
      </c>
      <c r="B243" s="81">
        <v>3</v>
      </c>
      <c r="C243" s="81">
        <v>2.5</v>
      </c>
      <c r="D243" s="81">
        <v>1</v>
      </c>
      <c r="E243" s="81">
        <f t="shared" si="6"/>
        <v>2514.8809999999999</v>
      </c>
      <c r="H243" s="83">
        <v>21424</v>
      </c>
      <c r="I243" s="83">
        <v>2</v>
      </c>
      <c r="J243" s="83" t="str">
        <f t="shared" si="7"/>
        <v>214242</v>
      </c>
      <c r="K243" s="83">
        <v>2514.8809999999999</v>
      </c>
    </row>
    <row r="244" spans="1:11" ht="15">
      <c r="A244" s="81">
        <v>21488</v>
      </c>
      <c r="B244" s="81">
        <v>1</v>
      </c>
      <c r="C244" s="81">
        <v>1.5</v>
      </c>
      <c r="D244" s="81">
        <v>1</v>
      </c>
      <c r="E244" s="81">
        <f t="shared" si="6"/>
        <v>2514.8809999999999</v>
      </c>
      <c r="H244" s="83">
        <v>21424</v>
      </c>
      <c r="I244" s="83">
        <v>3</v>
      </c>
      <c r="J244" s="83" t="str">
        <f t="shared" si="7"/>
        <v>214243</v>
      </c>
      <c r="K244" s="83">
        <v>2514.8809999999999</v>
      </c>
    </row>
    <row r="245" spans="1:11" ht="15">
      <c r="A245" s="81">
        <v>21488</v>
      </c>
      <c r="B245" s="81">
        <v>2</v>
      </c>
      <c r="C245" s="81">
        <v>2</v>
      </c>
      <c r="D245" s="81">
        <v>1</v>
      </c>
      <c r="E245" s="81">
        <f t="shared" si="6"/>
        <v>2514.8809999999999</v>
      </c>
      <c r="H245" s="83">
        <v>21488</v>
      </c>
      <c r="I245" s="83">
        <v>1</v>
      </c>
      <c r="J245" s="83" t="str">
        <f t="shared" si="7"/>
        <v>214881</v>
      </c>
      <c r="K245" s="83">
        <v>2514.8809999999999</v>
      </c>
    </row>
    <row r="246" spans="1:11" ht="15">
      <c r="A246" s="81">
        <v>21488</v>
      </c>
      <c r="B246" s="81">
        <v>3</v>
      </c>
      <c r="C246" s="81">
        <v>4.5</v>
      </c>
      <c r="D246" s="81">
        <v>1</v>
      </c>
      <c r="E246" s="81">
        <f t="shared" si="6"/>
        <v>2514.8809999999999</v>
      </c>
      <c r="H246" s="83">
        <v>21488</v>
      </c>
      <c r="I246" s="83">
        <v>2</v>
      </c>
      <c r="J246" s="83" t="str">
        <f t="shared" si="7"/>
        <v>214882</v>
      </c>
      <c r="K246" s="83">
        <v>2514.8809999999999</v>
      </c>
    </row>
    <row r="247" spans="1:11" ht="15">
      <c r="A247" s="81">
        <v>21505</v>
      </c>
      <c r="B247" s="81">
        <v>1</v>
      </c>
      <c r="C247" s="81">
        <v>1.75</v>
      </c>
      <c r="D247" s="81">
        <v>1</v>
      </c>
      <c r="E247" s="81">
        <f t="shared" si="6"/>
        <v>2514.8809999999999</v>
      </c>
      <c r="H247" s="83">
        <v>21488</v>
      </c>
      <c r="I247" s="83">
        <v>3</v>
      </c>
      <c r="J247" s="83" t="str">
        <f t="shared" si="7"/>
        <v>214883</v>
      </c>
      <c r="K247" s="83">
        <v>2514.8809999999999</v>
      </c>
    </row>
    <row r="248" spans="1:11" ht="15">
      <c r="A248" s="81">
        <v>21505</v>
      </c>
      <c r="B248" s="81">
        <v>2</v>
      </c>
      <c r="C248" s="81">
        <v>1.25</v>
      </c>
      <c r="D248" s="81">
        <v>1</v>
      </c>
      <c r="E248" s="81">
        <f t="shared" si="6"/>
        <v>2514.8809999999999</v>
      </c>
      <c r="H248" s="83">
        <v>21505</v>
      </c>
      <c r="I248" s="83">
        <v>1</v>
      </c>
      <c r="J248" s="83" t="str">
        <f t="shared" si="7"/>
        <v>215051</v>
      </c>
      <c r="K248" s="83">
        <v>2514.8809999999999</v>
      </c>
    </row>
    <row r="249" spans="1:11" ht="15">
      <c r="A249" s="81">
        <v>21505</v>
      </c>
      <c r="B249" s="81">
        <v>3</v>
      </c>
      <c r="C249" s="81">
        <v>1.25</v>
      </c>
      <c r="D249" s="81">
        <v>2</v>
      </c>
      <c r="E249" s="81">
        <f t="shared" si="6"/>
        <v>2514.8809999999999</v>
      </c>
      <c r="H249" s="83">
        <v>21505</v>
      </c>
      <c r="I249" s="83">
        <v>2</v>
      </c>
      <c r="J249" s="83" t="str">
        <f t="shared" si="7"/>
        <v>215052</v>
      </c>
      <c r="K249" s="83">
        <v>2514.8809999999999</v>
      </c>
    </row>
    <row r="250" spans="1:11" ht="15">
      <c r="A250" s="81">
        <v>21564</v>
      </c>
      <c r="B250" s="81">
        <v>1</v>
      </c>
      <c r="C250" s="81">
        <v>2</v>
      </c>
      <c r="D250" s="81">
        <v>1</v>
      </c>
      <c r="E250" s="81">
        <f t="shared" si="6"/>
        <v>2514.8809999999999</v>
      </c>
      <c r="H250" s="83">
        <v>21505</v>
      </c>
      <c r="I250" s="83">
        <v>3</v>
      </c>
      <c r="J250" s="83" t="str">
        <f t="shared" si="7"/>
        <v>215053</v>
      </c>
      <c r="K250" s="83">
        <v>2514.8809999999999</v>
      </c>
    </row>
    <row r="251" spans="1:11" ht="15">
      <c r="A251" s="81">
        <v>21564</v>
      </c>
      <c r="B251" s="81">
        <v>2</v>
      </c>
      <c r="C251" s="81">
        <v>1.5</v>
      </c>
      <c r="D251" s="81">
        <v>1</v>
      </c>
      <c r="E251" s="81">
        <f t="shared" si="6"/>
        <v>2514.8809999999999</v>
      </c>
      <c r="H251" s="83">
        <v>21564</v>
      </c>
      <c r="I251" s="83">
        <v>1</v>
      </c>
      <c r="J251" s="83" t="str">
        <f t="shared" si="7"/>
        <v>215641</v>
      </c>
      <c r="K251" s="83">
        <v>2514.8809999999999</v>
      </c>
    </row>
    <row r="252" spans="1:11" ht="15">
      <c r="A252" s="81">
        <v>21564</v>
      </c>
      <c r="B252" s="81">
        <v>3</v>
      </c>
      <c r="C252" s="81">
        <v>2.5</v>
      </c>
      <c r="D252" s="81">
        <v>1</v>
      </c>
      <c r="E252" s="81">
        <f t="shared" si="6"/>
        <v>2514.8809999999999</v>
      </c>
      <c r="H252" s="83">
        <v>21564</v>
      </c>
      <c r="I252" s="83">
        <v>2</v>
      </c>
      <c r="J252" s="83" t="str">
        <f t="shared" si="7"/>
        <v>215642</v>
      </c>
      <c r="K252" s="83">
        <v>2514.8809999999999</v>
      </c>
    </row>
    <row r="253" spans="1:11" ht="15">
      <c r="A253" s="81">
        <v>21576</v>
      </c>
      <c r="B253" s="81">
        <v>1</v>
      </c>
      <c r="C253" s="81">
        <v>2</v>
      </c>
      <c r="D253" s="81">
        <v>1</v>
      </c>
      <c r="E253" s="81">
        <f t="shared" si="6"/>
        <v>2514.8809999999999</v>
      </c>
      <c r="H253" s="83">
        <v>21564</v>
      </c>
      <c r="I253" s="83">
        <v>3</v>
      </c>
      <c r="J253" s="83" t="str">
        <f t="shared" si="7"/>
        <v>215643</v>
      </c>
      <c r="K253" s="83">
        <v>2514.8809999999999</v>
      </c>
    </row>
    <row r="254" spans="1:11" ht="15">
      <c r="A254" s="81">
        <v>21576</v>
      </c>
      <c r="B254" s="81">
        <v>2</v>
      </c>
      <c r="C254" s="81">
        <v>2</v>
      </c>
      <c r="D254" s="81">
        <v>1</v>
      </c>
      <c r="E254" s="81">
        <f t="shared" si="6"/>
        <v>2514.8809999999999</v>
      </c>
      <c r="H254" s="83">
        <v>21576</v>
      </c>
      <c r="I254" s="83">
        <v>1</v>
      </c>
      <c r="J254" s="83" t="str">
        <f t="shared" si="7"/>
        <v>215761</v>
      </c>
      <c r="K254" s="83">
        <v>2514.8809999999999</v>
      </c>
    </row>
    <row r="255" spans="1:11" ht="15">
      <c r="A255" s="81">
        <v>21576</v>
      </c>
      <c r="B255" s="81">
        <v>3</v>
      </c>
      <c r="C255" s="81">
        <v>2</v>
      </c>
      <c r="D255" s="81">
        <v>1</v>
      </c>
      <c r="E255" s="81">
        <f t="shared" si="6"/>
        <v>2514.8809999999999</v>
      </c>
      <c r="H255" s="83">
        <v>21576</v>
      </c>
      <c r="I255" s="83">
        <v>2</v>
      </c>
      <c r="J255" s="83" t="str">
        <f t="shared" si="7"/>
        <v>215762</v>
      </c>
      <c r="K255" s="83">
        <v>2514.8809999999999</v>
      </c>
    </row>
    <row r="256" spans="1:11" ht="15">
      <c r="A256" s="81">
        <v>21627</v>
      </c>
      <c r="B256" s="81">
        <v>1</v>
      </c>
      <c r="C256" s="81">
        <v>2</v>
      </c>
      <c r="D256" s="81">
        <v>2</v>
      </c>
      <c r="E256" s="81">
        <f t="shared" si="6"/>
        <v>3772.3220000000001</v>
      </c>
      <c r="H256" s="83">
        <v>21576</v>
      </c>
      <c r="I256" s="83">
        <v>3</v>
      </c>
      <c r="J256" s="83" t="str">
        <f t="shared" si="7"/>
        <v>215763</v>
      </c>
      <c r="K256" s="83">
        <v>2514.8809999999999</v>
      </c>
    </row>
    <row r="257" spans="1:11" ht="15">
      <c r="A257" s="81">
        <v>21627</v>
      </c>
      <c r="B257" s="81">
        <v>2</v>
      </c>
      <c r="C257" s="81">
        <v>2</v>
      </c>
      <c r="D257" s="81">
        <v>2</v>
      </c>
      <c r="E257" s="81">
        <f t="shared" si="6"/>
        <v>3772.3220000000001</v>
      </c>
      <c r="H257" s="83">
        <v>21627</v>
      </c>
      <c r="I257" s="83">
        <v>1</v>
      </c>
      <c r="J257" s="83" t="str">
        <f t="shared" si="7"/>
        <v>216271</v>
      </c>
      <c r="K257" s="83">
        <v>3772.3220000000001</v>
      </c>
    </row>
    <row r="258" spans="1:11" ht="15">
      <c r="A258" s="81">
        <v>21642</v>
      </c>
      <c r="B258" s="81">
        <v>1</v>
      </c>
      <c r="C258" s="81">
        <v>2</v>
      </c>
      <c r="D258" s="81">
        <v>1</v>
      </c>
      <c r="E258" s="81">
        <f t="shared" si="6"/>
        <v>3772.3220000000001</v>
      </c>
      <c r="H258" s="83">
        <v>21627</v>
      </c>
      <c r="I258" s="83">
        <v>2</v>
      </c>
      <c r="J258" s="83" t="str">
        <f t="shared" si="7"/>
        <v>216272</v>
      </c>
      <c r="K258" s="83">
        <v>3772.3220000000001</v>
      </c>
    </row>
    <row r="259" spans="1:11" ht="15">
      <c r="A259" s="81">
        <v>21642</v>
      </c>
      <c r="B259" s="81">
        <v>2</v>
      </c>
      <c r="C259" s="81">
        <v>2</v>
      </c>
      <c r="D259" s="81">
        <v>1</v>
      </c>
      <c r="E259" s="81">
        <f t="shared" ref="E259:E322" si="8">VLOOKUP(A259&amp;B259,$J$2:$K$553,2,FALSE)</f>
        <v>3772.3220000000001</v>
      </c>
      <c r="H259" s="83">
        <v>21642</v>
      </c>
      <c r="I259" s="83">
        <v>1</v>
      </c>
      <c r="J259" s="83" t="str">
        <f t="shared" ref="J259:J322" si="9">H259&amp;I259</f>
        <v>216421</v>
      </c>
      <c r="K259" s="83">
        <v>3772.3220000000001</v>
      </c>
    </row>
    <row r="260" spans="1:11" ht="15">
      <c r="A260" s="81">
        <v>21691</v>
      </c>
      <c r="B260" s="81">
        <v>1</v>
      </c>
      <c r="C260" s="81">
        <v>2.5</v>
      </c>
      <c r="D260" s="81">
        <v>1</v>
      </c>
      <c r="E260" s="81">
        <f t="shared" si="8"/>
        <v>2514.8809999999999</v>
      </c>
      <c r="H260" s="83">
        <v>21642</v>
      </c>
      <c r="I260" s="83">
        <v>2</v>
      </c>
      <c r="J260" s="83" t="str">
        <f t="shared" si="9"/>
        <v>216422</v>
      </c>
      <c r="K260" s="83">
        <v>3772.3220000000001</v>
      </c>
    </row>
    <row r="261" spans="1:11" ht="15">
      <c r="A261" s="81">
        <v>21691</v>
      </c>
      <c r="B261" s="81">
        <v>2</v>
      </c>
      <c r="C261" s="81">
        <v>2.5</v>
      </c>
      <c r="D261" s="81">
        <v>1</v>
      </c>
      <c r="E261" s="81">
        <f t="shared" si="8"/>
        <v>2514.8809999999999</v>
      </c>
      <c r="H261" s="83">
        <v>21691</v>
      </c>
      <c r="I261" s="83">
        <v>1</v>
      </c>
      <c r="J261" s="83" t="str">
        <f t="shared" si="9"/>
        <v>216911</v>
      </c>
      <c r="K261" s="83">
        <v>2514.8809999999999</v>
      </c>
    </row>
    <row r="262" spans="1:11" ht="15">
      <c r="A262" s="81">
        <v>21691</v>
      </c>
      <c r="B262" s="81">
        <v>3</v>
      </c>
      <c r="C262" s="81">
        <v>2.25</v>
      </c>
      <c r="D262" s="81">
        <v>1</v>
      </c>
      <c r="E262" s="81">
        <f t="shared" si="8"/>
        <v>2514.8809999999999</v>
      </c>
      <c r="H262" s="83">
        <v>21691</v>
      </c>
      <c r="I262" s="83">
        <v>2</v>
      </c>
      <c r="J262" s="83" t="str">
        <f t="shared" si="9"/>
        <v>216912</v>
      </c>
      <c r="K262" s="83">
        <v>2514.8809999999999</v>
      </c>
    </row>
    <row r="263" spans="1:11" ht="15">
      <c r="A263" s="81">
        <v>21757</v>
      </c>
      <c r="B263" s="81">
        <v>1</v>
      </c>
      <c r="C263" s="81">
        <v>1.79999995231628</v>
      </c>
      <c r="D263" s="81">
        <v>1</v>
      </c>
      <c r="E263" s="81">
        <f t="shared" si="8"/>
        <v>3772.3220000000001</v>
      </c>
      <c r="H263" s="83">
        <v>21691</v>
      </c>
      <c r="I263" s="83">
        <v>3</v>
      </c>
      <c r="J263" s="83" t="str">
        <f t="shared" si="9"/>
        <v>216913</v>
      </c>
      <c r="K263" s="83">
        <v>2514.8809999999999</v>
      </c>
    </row>
    <row r="264" spans="1:11" ht="15">
      <c r="A264" s="81">
        <v>21757</v>
      </c>
      <c r="B264" s="81">
        <v>2</v>
      </c>
      <c r="C264" s="81">
        <v>2.2000000476837198</v>
      </c>
      <c r="D264" s="81">
        <v>1</v>
      </c>
      <c r="E264" s="81">
        <f t="shared" si="8"/>
        <v>3772.3220000000001</v>
      </c>
      <c r="H264" s="83">
        <v>21757</v>
      </c>
      <c r="I264" s="83">
        <v>1</v>
      </c>
      <c r="J264" s="83" t="str">
        <f t="shared" si="9"/>
        <v>217571</v>
      </c>
      <c r="K264" s="83">
        <v>3772.3220000000001</v>
      </c>
    </row>
    <row r="265" spans="1:11" ht="15">
      <c r="A265" s="81">
        <v>21839</v>
      </c>
      <c r="B265" s="81">
        <v>1</v>
      </c>
      <c r="C265" s="81">
        <v>1.5</v>
      </c>
      <c r="D265" s="81">
        <v>2</v>
      </c>
      <c r="E265" s="81">
        <f t="shared" si="8"/>
        <v>3772.3220000000001</v>
      </c>
      <c r="H265" s="83">
        <v>21757</v>
      </c>
      <c r="I265" s="83">
        <v>2</v>
      </c>
      <c r="J265" s="83" t="str">
        <f t="shared" si="9"/>
        <v>217572</v>
      </c>
      <c r="K265" s="83">
        <v>3772.3220000000001</v>
      </c>
    </row>
    <row r="266" spans="1:11" ht="15">
      <c r="A266" s="81">
        <v>21839</v>
      </c>
      <c r="B266" s="81">
        <v>2</v>
      </c>
      <c r="C266" s="81">
        <v>1.5</v>
      </c>
      <c r="D266" s="81">
        <v>2</v>
      </c>
      <c r="E266" s="81">
        <f t="shared" si="8"/>
        <v>3772.3220000000001</v>
      </c>
      <c r="H266" s="83">
        <v>21839</v>
      </c>
      <c r="I266" s="83">
        <v>1</v>
      </c>
      <c r="J266" s="83" t="str">
        <f t="shared" si="9"/>
        <v>218391</v>
      </c>
      <c r="K266" s="83">
        <v>3772.3220000000001</v>
      </c>
    </row>
    <row r="267" spans="1:11" ht="15">
      <c r="A267" s="81">
        <v>21844</v>
      </c>
      <c r="B267" s="81">
        <v>1</v>
      </c>
      <c r="C267" s="81">
        <v>1.5</v>
      </c>
      <c r="D267" s="81">
        <v>1</v>
      </c>
      <c r="E267" s="81">
        <f t="shared" si="8"/>
        <v>2514.8809999999999</v>
      </c>
      <c r="H267" s="83">
        <v>21839</v>
      </c>
      <c r="I267" s="83">
        <v>2</v>
      </c>
      <c r="J267" s="83" t="str">
        <f t="shared" si="9"/>
        <v>218392</v>
      </c>
      <c r="K267" s="83">
        <v>3772.3220000000001</v>
      </c>
    </row>
    <row r="268" spans="1:11" ht="15">
      <c r="A268" s="81">
        <v>21844</v>
      </c>
      <c r="B268" s="81">
        <v>2</v>
      </c>
      <c r="C268" s="81">
        <v>1.5</v>
      </c>
      <c r="D268" s="81">
        <v>2</v>
      </c>
      <c r="E268" s="81">
        <f t="shared" si="8"/>
        <v>2514.8809999999999</v>
      </c>
      <c r="H268" s="83">
        <v>21844</v>
      </c>
      <c r="I268" s="83">
        <v>1</v>
      </c>
      <c r="J268" s="83" t="str">
        <f t="shared" si="9"/>
        <v>218441</v>
      </c>
      <c r="K268" s="83">
        <v>2514.8809999999999</v>
      </c>
    </row>
    <row r="269" spans="1:11" ht="15">
      <c r="A269" s="81">
        <v>21844</v>
      </c>
      <c r="B269" s="81">
        <v>3</v>
      </c>
      <c r="C269" s="81">
        <v>2</v>
      </c>
      <c r="D269" s="81">
        <v>1</v>
      </c>
      <c r="E269" s="81">
        <f t="shared" si="8"/>
        <v>2514.8809999999999</v>
      </c>
      <c r="H269" s="83">
        <v>21844</v>
      </c>
      <c r="I269" s="83">
        <v>2</v>
      </c>
      <c r="J269" s="83" t="str">
        <f t="shared" si="9"/>
        <v>218442</v>
      </c>
      <c r="K269" s="83">
        <v>2514.8809999999999</v>
      </c>
    </row>
    <row r="270" spans="1:11" ht="15">
      <c r="A270" s="81">
        <v>21910</v>
      </c>
      <c r="B270" s="81">
        <v>1</v>
      </c>
      <c r="C270" s="81">
        <v>2</v>
      </c>
      <c r="D270" s="81">
        <v>1</v>
      </c>
      <c r="E270" s="81">
        <f t="shared" si="8"/>
        <v>2514.8809999999999</v>
      </c>
      <c r="H270" s="83">
        <v>21844</v>
      </c>
      <c r="I270" s="83">
        <v>3</v>
      </c>
      <c r="J270" s="83" t="str">
        <f t="shared" si="9"/>
        <v>218443</v>
      </c>
      <c r="K270" s="83">
        <v>2514.8809999999999</v>
      </c>
    </row>
    <row r="271" spans="1:11" ht="15">
      <c r="A271" s="81">
        <v>21910</v>
      </c>
      <c r="B271" s="81">
        <v>2</v>
      </c>
      <c r="C271" s="81">
        <v>2</v>
      </c>
      <c r="D271" s="81">
        <v>1</v>
      </c>
      <c r="E271" s="81">
        <f t="shared" si="8"/>
        <v>2514.8809999999999</v>
      </c>
      <c r="H271" s="83">
        <v>21910</v>
      </c>
      <c r="I271" s="83">
        <v>1</v>
      </c>
      <c r="J271" s="83" t="str">
        <f t="shared" si="9"/>
        <v>219101</v>
      </c>
      <c r="K271" s="83">
        <v>2514.8809999999999</v>
      </c>
    </row>
    <row r="272" spans="1:11" ht="15">
      <c r="A272" s="81">
        <v>21910</v>
      </c>
      <c r="B272" s="81">
        <v>3</v>
      </c>
      <c r="C272" s="81">
        <v>2</v>
      </c>
      <c r="D272" s="81">
        <v>1</v>
      </c>
      <c r="E272" s="81">
        <f t="shared" si="8"/>
        <v>2514.8809999999999</v>
      </c>
      <c r="H272" s="83">
        <v>21910</v>
      </c>
      <c r="I272" s="83">
        <v>2</v>
      </c>
      <c r="J272" s="83" t="str">
        <f t="shared" si="9"/>
        <v>219102</v>
      </c>
      <c r="K272" s="83">
        <v>2514.8809999999999</v>
      </c>
    </row>
    <row r="273" spans="1:11" ht="15">
      <c r="A273" s="81">
        <v>21952</v>
      </c>
      <c r="B273" s="81">
        <v>1</v>
      </c>
      <c r="C273" s="81">
        <v>1.5</v>
      </c>
      <c r="D273" s="81">
        <v>1</v>
      </c>
      <c r="E273" s="81">
        <f t="shared" si="8"/>
        <v>3772.3220000000001</v>
      </c>
      <c r="H273" s="83">
        <v>21910</v>
      </c>
      <c r="I273" s="83">
        <v>3</v>
      </c>
      <c r="J273" s="83" t="str">
        <f t="shared" si="9"/>
        <v>219103</v>
      </c>
      <c r="K273" s="83">
        <v>2514.8809999999999</v>
      </c>
    </row>
    <row r="274" spans="1:11" ht="15">
      <c r="A274" s="81">
        <v>21952</v>
      </c>
      <c r="B274" s="81">
        <v>2</v>
      </c>
      <c r="C274" s="81">
        <v>1</v>
      </c>
      <c r="D274" s="81">
        <v>1</v>
      </c>
      <c r="E274" s="81">
        <f t="shared" si="8"/>
        <v>3772.3220000000001</v>
      </c>
      <c r="H274" s="83">
        <v>21952</v>
      </c>
      <c r="I274" s="83">
        <v>1</v>
      </c>
      <c r="J274" s="83" t="str">
        <f t="shared" si="9"/>
        <v>219521</v>
      </c>
      <c r="K274" s="83">
        <v>3772.3220000000001</v>
      </c>
    </row>
    <row r="275" spans="1:11" ht="15">
      <c r="A275" s="81">
        <v>21985</v>
      </c>
      <c r="B275" s="81">
        <v>1</v>
      </c>
      <c r="C275" s="81">
        <v>2.5</v>
      </c>
      <c r="D275" s="81">
        <v>1</v>
      </c>
      <c r="E275" s="81">
        <f t="shared" si="8"/>
        <v>3772.3220000000001</v>
      </c>
      <c r="H275" s="83">
        <v>21952</v>
      </c>
      <c r="I275" s="83">
        <v>2</v>
      </c>
      <c r="J275" s="83" t="str">
        <f t="shared" si="9"/>
        <v>219522</v>
      </c>
      <c r="K275" s="83">
        <v>3772.3220000000001</v>
      </c>
    </row>
    <row r="276" spans="1:11" ht="15">
      <c r="A276" s="81">
        <v>21985</v>
      </c>
      <c r="B276" s="81">
        <v>2</v>
      </c>
      <c r="C276" s="81">
        <v>1.25</v>
      </c>
      <c r="D276" s="81">
        <v>1</v>
      </c>
      <c r="E276" s="81">
        <f t="shared" si="8"/>
        <v>3772.3220000000001</v>
      </c>
      <c r="H276" s="83">
        <v>21985</v>
      </c>
      <c r="I276" s="83">
        <v>1</v>
      </c>
      <c r="J276" s="83" t="str">
        <f t="shared" si="9"/>
        <v>219851</v>
      </c>
      <c r="K276" s="83">
        <v>3772.3220000000001</v>
      </c>
    </row>
    <row r="277" spans="1:11" ht="15">
      <c r="A277" s="81">
        <v>21998</v>
      </c>
      <c r="B277" s="81">
        <v>1</v>
      </c>
      <c r="C277" s="81">
        <v>2</v>
      </c>
      <c r="D277" s="81">
        <v>1</v>
      </c>
      <c r="E277" s="81">
        <f t="shared" si="8"/>
        <v>2514.8809999999999</v>
      </c>
      <c r="H277" s="83">
        <v>21985</v>
      </c>
      <c r="I277" s="83">
        <v>2</v>
      </c>
      <c r="J277" s="83" t="str">
        <f t="shared" si="9"/>
        <v>219852</v>
      </c>
      <c r="K277" s="83">
        <v>3772.3220000000001</v>
      </c>
    </row>
    <row r="278" spans="1:11" ht="15">
      <c r="A278" s="81">
        <v>21998</v>
      </c>
      <c r="B278" s="81">
        <v>2</v>
      </c>
      <c r="C278" s="81">
        <v>2</v>
      </c>
      <c r="D278" s="81">
        <v>1</v>
      </c>
      <c r="E278" s="81">
        <f t="shared" si="8"/>
        <v>2514.8809999999999</v>
      </c>
      <c r="H278" s="83">
        <v>21998</v>
      </c>
      <c r="I278" s="83">
        <v>1</v>
      </c>
      <c r="J278" s="83" t="str">
        <f t="shared" si="9"/>
        <v>219981</v>
      </c>
      <c r="K278" s="83">
        <v>2514.8809999999999</v>
      </c>
    </row>
    <row r="279" spans="1:11" ht="15">
      <c r="A279" s="81">
        <v>21998</v>
      </c>
      <c r="B279" s="81">
        <v>3</v>
      </c>
      <c r="C279" s="81">
        <v>2</v>
      </c>
      <c r="D279" s="81">
        <v>1</v>
      </c>
      <c r="E279" s="81">
        <f t="shared" si="8"/>
        <v>2514.8809999999999</v>
      </c>
      <c r="H279" s="83">
        <v>21998</v>
      </c>
      <c r="I279" s="83">
        <v>2</v>
      </c>
      <c r="J279" s="83" t="str">
        <f t="shared" si="9"/>
        <v>219982</v>
      </c>
      <c r="K279" s="83">
        <v>2514.8809999999999</v>
      </c>
    </row>
    <row r="280" spans="1:11" ht="15">
      <c r="A280" s="81">
        <v>22058</v>
      </c>
      <c r="B280" s="81">
        <v>1</v>
      </c>
      <c r="C280" s="81">
        <v>3</v>
      </c>
      <c r="D280" s="81">
        <v>1</v>
      </c>
      <c r="E280" s="81">
        <f t="shared" si="8"/>
        <v>2514.8809999999999</v>
      </c>
      <c r="H280" s="83">
        <v>21998</v>
      </c>
      <c r="I280" s="83">
        <v>3</v>
      </c>
      <c r="J280" s="83" t="str">
        <f t="shared" si="9"/>
        <v>219983</v>
      </c>
      <c r="K280" s="83">
        <v>2514.8809999999999</v>
      </c>
    </row>
    <row r="281" spans="1:11" ht="15">
      <c r="A281" s="81">
        <v>22058</v>
      </c>
      <c r="B281" s="81">
        <v>2</v>
      </c>
      <c r="C281" s="81">
        <v>2.5</v>
      </c>
      <c r="D281" s="81">
        <v>1</v>
      </c>
      <c r="E281" s="81">
        <f t="shared" si="8"/>
        <v>2514.8809999999999</v>
      </c>
      <c r="H281" s="83">
        <v>22058</v>
      </c>
      <c r="I281" s="83">
        <v>1</v>
      </c>
      <c r="J281" s="83" t="str">
        <f t="shared" si="9"/>
        <v>220581</v>
      </c>
      <c r="K281" s="83">
        <v>2514.8809999999999</v>
      </c>
    </row>
    <row r="282" spans="1:11" ht="15">
      <c r="A282" s="81">
        <v>22058</v>
      </c>
      <c r="B282" s="81">
        <v>3</v>
      </c>
      <c r="C282" s="81">
        <v>3</v>
      </c>
      <c r="D282" s="81">
        <v>1</v>
      </c>
      <c r="E282" s="81">
        <f t="shared" si="8"/>
        <v>2514.8809999999999</v>
      </c>
      <c r="H282" s="83">
        <v>22058</v>
      </c>
      <c r="I282" s="83">
        <v>2</v>
      </c>
      <c r="J282" s="83" t="str">
        <f t="shared" si="9"/>
        <v>220582</v>
      </c>
      <c r="K282" s="83">
        <v>2514.8809999999999</v>
      </c>
    </row>
    <row r="283" spans="1:11" ht="15">
      <c r="A283" s="81">
        <v>22106</v>
      </c>
      <c r="B283" s="81">
        <v>1</v>
      </c>
      <c r="C283" s="81">
        <v>1.5</v>
      </c>
      <c r="D283" s="81">
        <v>1</v>
      </c>
      <c r="E283" s="81">
        <f t="shared" si="8"/>
        <v>2514.8809999999999</v>
      </c>
      <c r="H283" s="83">
        <v>22058</v>
      </c>
      <c r="I283" s="83">
        <v>3</v>
      </c>
      <c r="J283" s="83" t="str">
        <f t="shared" si="9"/>
        <v>220583</v>
      </c>
      <c r="K283" s="83">
        <v>2514.8809999999999</v>
      </c>
    </row>
    <row r="284" spans="1:11" ht="15">
      <c r="A284" s="81">
        <v>22106</v>
      </c>
      <c r="B284" s="81">
        <v>2</v>
      </c>
      <c r="C284" s="81">
        <v>2.5</v>
      </c>
      <c r="D284" s="81">
        <v>1</v>
      </c>
      <c r="E284" s="81">
        <f t="shared" si="8"/>
        <v>2514.8809999999999</v>
      </c>
      <c r="H284" s="83">
        <v>22106</v>
      </c>
      <c r="I284" s="83">
        <v>1</v>
      </c>
      <c r="J284" s="83" t="str">
        <f t="shared" si="9"/>
        <v>221061</v>
      </c>
      <c r="K284" s="83">
        <v>2514.8809999999999</v>
      </c>
    </row>
    <row r="285" spans="1:11" ht="15">
      <c r="A285" s="81">
        <v>22106</v>
      </c>
      <c r="B285" s="81">
        <v>3</v>
      </c>
      <c r="C285" s="81">
        <v>1.5</v>
      </c>
      <c r="D285" s="81">
        <v>2</v>
      </c>
      <c r="E285" s="81">
        <f t="shared" si="8"/>
        <v>2514.8809999999999</v>
      </c>
      <c r="H285" s="83">
        <v>22106</v>
      </c>
      <c r="I285" s="83">
        <v>2</v>
      </c>
      <c r="J285" s="83" t="str">
        <f t="shared" si="9"/>
        <v>221062</v>
      </c>
      <c r="K285" s="83">
        <v>2514.8809999999999</v>
      </c>
    </row>
    <row r="286" spans="1:11" ht="15">
      <c r="A286" s="81">
        <v>22262</v>
      </c>
      <c r="B286" s="81">
        <v>1</v>
      </c>
      <c r="C286" s="81">
        <v>2</v>
      </c>
      <c r="D286" s="81">
        <v>2</v>
      </c>
      <c r="E286" s="81">
        <f t="shared" si="8"/>
        <v>2514.8809999999999</v>
      </c>
      <c r="H286" s="83">
        <v>22106</v>
      </c>
      <c r="I286" s="83">
        <v>3</v>
      </c>
      <c r="J286" s="83" t="str">
        <f t="shared" si="9"/>
        <v>221063</v>
      </c>
      <c r="K286" s="83">
        <v>2514.8809999999999</v>
      </c>
    </row>
    <row r="287" spans="1:11" ht="15">
      <c r="A287" s="81">
        <v>22262</v>
      </c>
      <c r="B287" s="81">
        <v>2</v>
      </c>
      <c r="C287" s="81">
        <v>2</v>
      </c>
      <c r="D287" s="81">
        <v>2</v>
      </c>
      <c r="E287" s="81">
        <f t="shared" si="8"/>
        <v>2514.8809999999999</v>
      </c>
      <c r="H287" s="83">
        <v>22262</v>
      </c>
      <c r="I287" s="83">
        <v>1</v>
      </c>
      <c r="J287" s="83" t="str">
        <f t="shared" si="9"/>
        <v>222621</v>
      </c>
      <c r="K287" s="83">
        <v>2514.8809999999999</v>
      </c>
    </row>
    <row r="288" spans="1:11" ht="15">
      <c r="A288" s="81">
        <v>22262</v>
      </c>
      <c r="B288" s="81">
        <v>3</v>
      </c>
      <c r="C288" s="81">
        <v>2</v>
      </c>
      <c r="D288" s="81">
        <v>2</v>
      </c>
      <c r="E288" s="81">
        <f t="shared" si="8"/>
        <v>2514.8809999999999</v>
      </c>
      <c r="H288" s="83">
        <v>22262</v>
      </c>
      <c r="I288" s="83">
        <v>2</v>
      </c>
      <c r="J288" s="83" t="str">
        <f t="shared" si="9"/>
        <v>222622</v>
      </c>
      <c r="K288" s="83">
        <v>2514.8809999999999</v>
      </c>
    </row>
    <row r="289" spans="1:11" ht="15">
      <c r="A289" s="81">
        <v>22371</v>
      </c>
      <c r="B289" s="81">
        <v>1</v>
      </c>
      <c r="C289" s="81">
        <v>2</v>
      </c>
      <c r="D289" s="81">
        <v>1</v>
      </c>
      <c r="E289" s="81">
        <f t="shared" si="8"/>
        <v>3772.3220000000001</v>
      </c>
      <c r="H289" s="83">
        <v>22262</v>
      </c>
      <c r="I289" s="83">
        <v>3</v>
      </c>
      <c r="J289" s="83" t="str">
        <f t="shared" si="9"/>
        <v>222623</v>
      </c>
      <c r="K289" s="83">
        <v>2514.8809999999999</v>
      </c>
    </row>
    <row r="290" spans="1:11" ht="15">
      <c r="A290" s="81">
        <v>22371</v>
      </c>
      <c r="B290" s="81">
        <v>2</v>
      </c>
      <c r="C290" s="81">
        <v>2</v>
      </c>
      <c r="D290" s="81">
        <v>1</v>
      </c>
      <c r="E290" s="81">
        <f t="shared" si="8"/>
        <v>3772.3220000000001</v>
      </c>
      <c r="H290" s="83">
        <v>22371</v>
      </c>
      <c r="I290" s="83">
        <v>1</v>
      </c>
      <c r="J290" s="83" t="str">
        <f t="shared" si="9"/>
        <v>223711</v>
      </c>
      <c r="K290" s="83">
        <v>3772.3220000000001</v>
      </c>
    </row>
    <row r="291" spans="1:11" ht="15">
      <c r="A291" s="81">
        <v>22450</v>
      </c>
      <c r="B291" s="81">
        <v>1</v>
      </c>
      <c r="C291" s="81">
        <v>1.75</v>
      </c>
      <c r="D291" s="81">
        <v>1</v>
      </c>
      <c r="E291" s="81">
        <f t="shared" si="8"/>
        <v>2514.8809999999999</v>
      </c>
      <c r="H291" s="83">
        <v>22371</v>
      </c>
      <c r="I291" s="83">
        <v>2</v>
      </c>
      <c r="J291" s="83" t="str">
        <f t="shared" si="9"/>
        <v>223712</v>
      </c>
      <c r="K291" s="83">
        <v>3772.3220000000001</v>
      </c>
    </row>
    <row r="292" spans="1:11" ht="15">
      <c r="A292" s="81">
        <v>22450</v>
      </c>
      <c r="B292" s="81">
        <v>2</v>
      </c>
      <c r="C292" s="81">
        <v>2</v>
      </c>
      <c r="D292" s="81">
        <v>1</v>
      </c>
      <c r="E292" s="81">
        <f t="shared" si="8"/>
        <v>2514.8809999999999</v>
      </c>
      <c r="H292" s="83">
        <v>22450</v>
      </c>
      <c r="I292" s="83">
        <v>1</v>
      </c>
      <c r="J292" s="83" t="str">
        <f t="shared" si="9"/>
        <v>224501</v>
      </c>
      <c r="K292" s="83">
        <v>2514.8809999999999</v>
      </c>
    </row>
    <row r="293" spans="1:11" ht="15">
      <c r="A293" s="81">
        <v>22450</v>
      </c>
      <c r="B293" s="81">
        <v>3</v>
      </c>
      <c r="C293" s="81">
        <v>2</v>
      </c>
      <c r="D293" s="81">
        <v>1</v>
      </c>
      <c r="E293" s="81">
        <f t="shared" si="8"/>
        <v>2514.8809999999999</v>
      </c>
      <c r="H293" s="83">
        <v>22450</v>
      </c>
      <c r="I293" s="83">
        <v>2</v>
      </c>
      <c r="J293" s="83" t="str">
        <f t="shared" si="9"/>
        <v>224502</v>
      </c>
      <c r="K293" s="83">
        <v>2514.8809999999999</v>
      </c>
    </row>
    <row r="294" spans="1:11" ht="15">
      <c r="A294" s="81">
        <v>22536</v>
      </c>
      <c r="B294" s="81">
        <v>1</v>
      </c>
      <c r="C294" s="81">
        <v>2</v>
      </c>
      <c r="D294" s="81">
        <v>2</v>
      </c>
      <c r="E294" s="81">
        <f t="shared" si="8"/>
        <v>2514.8809999999999</v>
      </c>
      <c r="H294" s="83">
        <v>22450</v>
      </c>
      <c r="I294" s="83">
        <v>3</v>
      </c>
      <c r="J294" s="83" t="str">
        <f t="shared" si="9"/>
        <v>224503</v>
      </c>
      <c r="K294" s="83">
        <v>2514.8809999999999</v>
      </c>
    </row>
    <row r="295" spans="1:11" ht="15">
      <c r="A295" s="81">
        <v>22536</v>
      </c>
      <c r="B295" s="81">
        <v>2</v>
      </c>
      <c r="C295" s="81">
        <v>2</v>
      </c>
      <c r="D295" s="81">
        <v>2</v>
      </c>
      <c r="E295" s="81">
        <f t="shared" si="8"/>
        <v>2514.8809999999999</v>
      </c>
      <c r="H295" s="83">
        <v>22536</v>
      </c>
      <c r="I295" s="83">
        <v>1</v>
      </c>
      <c r="J295" s="83" t="str">
        <f t="shared" si="9"/>
        <v>225361</v>
      </c>
      <c r="K295" s="83">
        <v>2514.8809999999999</v>
      </c>
    </row>
    <row r="296" spans="1:11" ht="15">
      <c r="A296" s="81">
        <v>22536</v>
      </c>
      <c r="B296" s="81">
        <v>3</v>
      </c>
      <c r="C296" s="81">
        <v>1.79999995231628</v>
      </c>
      <c r="D296" s="81">
        <v>1</v>
      </c>
      <c r="E296" s="81">
        <f t="shared" si="8"/>
        <v>2514.8809999999999</v>
      </c>
      <c r="H296" s="83">
        <v>22536</v>
      </c>
      <c r="I296" s="83">
        <v>2</v>
      </c>
      <c r="J296" s="83" t="str">
        <f t="shared" si="9"/>
        <v>225362</v>
      </c>
      <c r="K296" s="83">
        <v>2514.8809999999999</v>
      </c>
    </row>
    <row r="297" spans="1:11" ht="15">
      <c r="A297" s="81">
        <v>22870</v>
      </c>
      <c r="B297" s="81">
        <v>1</v>
      </c>
      <c r="C297" s="81">
        <v>2</v>
      </c>
      <c r="D297" s="81">
        <v>2</v>
      </c>
      <c r="E297" s="81">
        <f t="shared" si="8"/>
        <v>2514.8809999999999</v>
      </c>
      <c r="H297" s="83">
        <v>22536</v>
      </c>
      <c r="I297" s="83">
        <v>3</v>
      </c>
      <c r="J297" s="83" t="str">
        <f t="shared" si="9"/>
        <v>225363</v>
      </c>
      <c r="K297" s="83">
        <v>2514.8809999999999</v>
      </c>
    </row>
    <row r="298" spans="1:11" ht="15">
      <c r="A298" s="81">
        <v>22870</v>
      </c>
      <c r="B298" s="81">
        <v>2</v>
      </c>
      <c r="C298" s="81">
        <v>3.5</v>
      </c>
      <c r="D298" s="81">
        <v>2</v>
      </c>
      <c r="E298" s="81">
        <f t="shared" si="8"/>
        <v>2514.8809999999999</v>
      </c>
      <c r="H298" s="83">
        <v>22870</v>
      </c>
      <c r="I298" s="83">
        <v>1</v>
      </c>
      <c r="J298" s="83" t="str">
        <f t="shared" si="9"/>
        <v>228701</v>
      </c>
      <c r="K298" s="83">
        <v>2514.8809999999999</v>
      </c>
    </row>
    <row r="299" spans="1:11" ht="15">
      <c r="A299" s="81">
        <v>22870</v>
      </c>
      <c r="B299" s="81">
        <v>3</v>
      </c>
      <c r="C299" s="81">
        <v>2</v>
      </c>
      <c r="D299" s="81">
        <v>2</v>
      </c>
      <c r="E299" s="81">
        <f t="shared" si="8"/>
        <v>2514.8809999999999</v>
      </c>
      <c r="H299" s="83">
        <v>22870</v>
      </c>
      <c r="I299" s="83">
        <v>2</v>
      </c>
      <c r="J299" s="83" t="str">
        <f t="shared" si="9"/>
        <v>228702</v>
      </c>
      <c r="K299" s="83">
        <v>2514.8809999999999</v>
      </c>
    </row>
    <row r="300" spans="1:11" ht="15">
      <c r="A300" s="81">
        <v>22906</v>
      </c>
      <c r="B300" s="81">
        <v>1</v>
      </c>
      <c r="C300" s="81">
        <v>1.5</v>
      </c>
      <c r="D300" s="81">
        <v>1</v>
      </c>
      <c r="E300" s="81">
        <f t="shared" si="8"/>
        <v>3772.3220000000001</v>
      </c>
      <c r="H300" s="83">
        <v>22870</v>
      </c>
      <c r="I300" s="83">
        <v>3</v>
      </c>
      <c r="J300" s="83" t="str">
        <f t="shared" si="9"/>
        <v>228703</v>
      </c>
      <c r="K300" s="83">
        <v>2514.8809999999999</v>
      </c>
    </row>
    <row r="301" spans="1:11" ht="15">
      <c r="A301" s="81">
        <v>22906</v>
      </c>
      <c r="B301" s="81">
        <v>2</v>
      </c>
      <c r="C301" s="81">
        <v>1</v>
      </c>
      <c r="D301" s="81">
        <v>2</v>
      </c>
      <c r="E301" s="81">
        <f t="shared" si="8"/>
        <v>3772.3220000000001</v>
      </c>
      <c r="H301" s="83">
        <v>22906</v>
      </c>
      <c r="I301" s="83">
        <v>1</v>
      </c>
      <c r="J301" s="83" t="str">
        <f t="shared" si="9"/>
        <v>229061</v>
      </c>
      <c r="K301" s="83">
        <v>3772.3220000000001</v>
      </c>
    </row>
    <row r="302" spans="1:11" ht="15">
      <c r="A302" s="81">
        <v>23106</v>
      </c>
      <c r="B302" s="81">
        <v>1</v>
      </c>
      <c r="C302" s="81">
        <v>2.5</v>
      </c>
      <c r="D302" s="81">
        <v>1</v>
      </c>
      <c r="E302" s="81">
        <f t="shared" si="8"/>
        <v>3772.3220000000001</v>
      </c>
      <c r="H302" s="83">
        <v>22906</v>
      </c>
      <c r="I302" s="83">
        <v>2</v>
      </c>
      <c r="J302" s="83" t="str">
        <f t="shared" si="9"/>
        <v>229062</v>
      </c>
      <c r="K302" s="83">
        <v>3772.3220000000001</v>
      </c>
    </row>
    <row r="303" spans="1:11" ht="15">
      <c r="A303" s="81">
        <v>23106</v>
      </c>
      <c r="B303" s="81">
        <v>2</v>
      </c>
      <c r="C303" s="81">
        <v>2.5</v>
      </c>
      <c r="D303" s="81">
        <v>1</v>
      </c>
      <c r="E303" s="81">
        <f t="shared" si="8"/>
        <v>3772.3220000000001</v>
      </c>
      <c r="H303" s="83">
        <v>23106</v>
      </c>
      <c r="I303" s="83">
        <v>1</v>
      </c>
      <c r="J303" s="83" t="str">
        <f t="shared" si="9"/>
        <v>231061</v>
      </c>
      <c r="K303" s="83">
        <v>3772.3220000000001</v>
      </c>
    </row>
    <row r="304" spans="1:11" ht="15">
      <c r="A304" s="81">
        <v>23425</v>
      </c>
      <c r="B304" s="81">
        <v>1</v>
      </c>
      <c r="C304" s="81">
        <v>1.5</v>
      </c>
      <c r="D304" s="81">
        <v>1</v>
      </c>
      <c r="E304" s="81">
        <f t="shared" si="8"/>
        <v>2514.8809999999999</v>
      </c>
      <c r="H304" s="83">
        <v>23106</v>
      </c>
      <c r="I304" s="83">
        <v>2</v>
      </c>
      <c r="J304" s="83" t="str">
        <f t="shared" si="9"/>
        <v>231062</v>
      </c>
      <c r="K304" s="83">
        <v>3772.3220000000001</v>
      </c>
    </row>
    <row r="305" spans="1:11" ht="15">
      <c r="A305" s="81">
        <v>23425</v>
      </c>
      <c r="B305" s="81">
        <v>2</v>
      </c>
      <c r="C305" s="81">
        <v>1.5</v>
      </c>
      <c r="D305" s="81">
        <v>1</v>
      </c>
      <c r="E305" s="81">
        <f t="shared" si="8"/>
        <v>2514.8809999999999</v>
      </c>
      <c r="H305" s="83">
        <v>23425</v>
      </c>
      <c r="I305" s="83">
        <v>1</v>
      </c>
      <c r="J305" s="83" t="str">
        <f t="shared" si="9"/>
        <v>234251</v>
      </c>
      <c r="K305" s="83">
        <v>2514.8809999999999</v>
      </c>
    </row>
    <row r="306" spans="1:11" ht="15">
      <c r="A306" s="81">
        <v>23425</v>
      </c>
      <c r="B306" s="81">
        <v>3</v>
      </c>
      <c r="C306" s="81">
        <v>1.5</v>
      </c>
      <c r="D306" s="81">
        <v>1</v>
      </c>
      <c r="E306" s="81">
        <f t="shared" si="8"/>
        <v>2514.8809999999999</v>
      </c>
      <c r="H306" s="83">
        <v>23425</v>
      </c>
      <c r="I306" s="83">
        <v>2</v>
      </c>
      <c r="J306" s="83" t="str">
        <f t="shared" si="9"/>
        <v>234252</v>
      </c>
      <c r="K306" s="83">
        <v>2514.8809999999999</v>
      </c>
    </row>
    <row r="307" spans="1:11" ht="15">
      <c r="A307" s="81">
        <v>23531</v>
      </c>
      <c r="B307" s="81">
        <v>1</v>
      </c>
      <c r="C307" s="81">
        <v>1.75</v>
      </c>
      <c r="D307" s="81">
        <v>1</v>
      </c>
      <c r="E307" s="81">
        <f t="shared" si="8"/>
        <v>3772.3220000000001</v>
      </c>
      <c r="H307" s="83">
        <v>23425</v>
      </c>
      <c r="I307" s="83">
        <v>3</v>
      </c>
      <c r="J307" s="83" t="str">
        <f t="shared" si="9"/>
        <v>234253</v>
      </c>
      <c r="K307" s="83">
        <v>2514.8809999999999</v>
      </c>
    </row>
    <row r="308" spans="1:11" ht="15">
      <c r="A308" s="81">
        <v>23531</v>
      </c>
      <c r="B308" s="81">
        <v>2</v>
      </c>
      <c r="C308" s="81">
        <v>1.75</v>
      </c>
      <c r="D308" s="81">
        <v>1</v>
      </c>
      <c r="E308" s="81">
        <f t="shared" si="8"/>
        <v>3772.3220000000001</v>
      </c>
      <c r="H308" s="83">
        <v>23531</v>
      </c>
      <c r="I308" s="83">
        <v>1</v>
      </c>
      <c r="J308" s="83" t="str">
        <f t="shared" si="9"/>
        <v>235311</v>
      </c>
      <c r="K308" s="83">
        <v>3772.3220000000001</v>
      </c>
    </row>
    <row r="309" spans="1:11" ht="15">
      <c r="A309" s="81">
        <v>23623</v>
      </c>
      <c r="B309" s="81">
        <v>1</v>
      </c>
      <c r="C309" s="81">
        <v>2</v>
      </c>
      <c r="D309" s="81">
        <v>1</v>
      </c>
      <c r="E309" s="81">
        <f t="shared" si="8"/>
        <v>2514.8809999999999</v>
      </c>
      <c r="H309" s="83">
        <v>23531</v>
      </c>
      <c r="I309" s="83">
        <v>2</v>
      </c>
      <c r="J309" s="83" t="str">
        <f t="shared" si="9"/>
        <v>235312</v>
      </c>
      <c r="K309" s="83">
        <v>3772.3220000000001</v>
      </c>
    </row>
    <row r="310" spans="1:11" ht="15">
      <c r="A310" s="81">
        <v>23623</v>
      </c>
      <c r="B310" s="81">
        <v>2</v>
      </c>
      <c r="C310" s="81">
        <v>2</v>
      </c>
      <c r="D310" s="81">
        <v>1</v>
      </c>
      <c r="E310" s="81">
        <f t="shared" si="8"/>
        <v>2514.8809999999999</v>
      </c>
      <c r="H310" s="83">
        <v>23623</v>
      </c>
      <c r="I310" s="83">
        <v>1</v>
      </c>
      <c r="J310" s="83" t="str">
        <f t="shared" si="9"/>
        <v>236231</v>
      </c>
      <c r="K310" s="83">
        <v>2514.8809999999999</v>
      </c>
    </row>
    <row r="311" spans="1:11" ht="15">
      <c r="A311" s="81">
        <v>23623</v>
      </c>
      <c r="B311" s="81">
        <v>3</v>
      </c>
      <c r="C311" s="81">
        <v>1.5</v>
      </c>
      <c r="D311" s="81">
        <v>1</v>
      </c>
      <c r="E311" s="81">
        <f t="shared" si="8"/>
        <v>2514.8809999999999</v>
      </c>
      <c r="H311" s="83">
        <v>23623</v>
      </c>
      <c r="I311" s="83">
        <v>2</v>
      </c>
      <c r="J311" s="83" t="str">
        <f t="shared" si="9"/>
        <v>236232</v>
      </c>
      <c r="K311" s="83">
        <v>2514.8809999999999</v>
      </c>
    </row>
    <row r="312" spans="1:11" ht="15">
      <c r="A312" s="81">
        <v>23681</v>
      </c>
      <c r="B312" s="81">
        <v>1</v>
      </c>
      <c r="C312" s="81">
        <v>1.5</v>
      </c>
      <c r="D312" s="81">
        <v>2</v>
      </c>
      <c r="E312" s="81">
        <f t="shared" si="8"/>
        <v>2514.8809999999999</v>
      </c>
      <c r="H312" s="83">
        <v>23623</v>
      </c>
      <c r="I312" s="83">
        <v>3</v>
      </c>
      <c r="J312" s="83" t="str">
        <f t="shared" si="9"/>
        <v>236233</v>
      </c>
      <c r="K312" s="83">
        <v>2514.8809999999999</v>
      </c>
    </row>
    <row r="313" spans="1:11" ht="15">
      <c r="A313" s="81">
        <v>23681</v>
      </c>
      <c r="B313" s="81">
        <v>2</v>
      </c>
      <c r="C313" s="81">
        <v>2</v>
      </c>
      <c r="D313" s="81">
        <v>2</v>
      </c>
      <c r="E313" s="81">
        <f t="shared" si="8"/>
        <v>2514.8809999999999</v>
      </c>
      <c r="H313" s="83">
        <v>23681</v>
      </c>
      <c r="I313" s="83">
        <v>1</v>
      </c>
      <c r="J313" s="83" t="str">
        <f t="shared" si="9"/>
        <v>236811</v>
      </c>
      <c r="K313" s="83">
        <v>2514.8809999999999</v>
      </c>
    </row>
    <row r="314" spans="1:11" ht="15">
      <c r="A314" s="81">
        <v>23681</v>
      </c>
      <c r="B314" s="81">
        <v>3</v>
      </c>
      <c r="C314" s="81">
        <v>1.5</v>
      </c>
      <c r="D314" s="81">
        <v>2</v>
      </c>
      <c r="E314" s="81">
        <f t="shared" si="8"/>
        <v>2514.8809999999999</v>
      </c>
      <c r="H314" s="83">
        <v>23681</v>
      </c>
      <c r="I314" s="83">
        <v>2</v>
      </c>
      <c r="J314" s="83" t="str">
        <f t="shared" si="9"/>
        <v>236812</v>
      </c>
      <c r="K314" s="83">
        <v>2514.8809999999999</v>
      </c>
    </row>
    <row r="315" spans="1:11" ht="15">
      <c r="A315" s="81">
        <v>23685</v>
      </c>
      <c r="B315" s="81">
        <v>1</v>
      </c>
      <c r="C315" s="81">
        <v>2</v>
      </c>
      <c r="D315" s="81">
        <v>1</v>
      </c>
      <c r="E315" s="81">
        <f t="shared" si="8"/>
        <v>3772.3220000000001</v>
      </c>
      <c r="H315" s="83">
        <v>23681</v>
      </c>
      <c r="I315" s="83">
        <v>3</v>
      </c>
      <c r="J315" s="83" t="str">
        <f t="shared" si="9"/>
        <v>236813</v>
      </c>
      <c r="K315" s="83">
        <v>2514.8809999999999</v>
      </c>
    </row>
    <row r="316" spans="1:11" ht="15">
      <c r="A316" s="81">
        <v>23685</v>
      </c>
      <c r="B316" s="81">
        <v>2</v>
      </c>
      <c r="C316" s="81">
        <v>1.25</v>
      </c>
      <c r="D316" s="81">
        <v>1</v>
      </c>
      <c r="E316" s="81">
        <f t="shared" si="8"/>
        <v>3772.3220000000001</v>
      </c>
      <c r="H316" s="83">
        <v>23685</v>
      </c>
      <c r="I316" s="83">
        <v>1</v>
      </c>
      <c r="J316" s="83" t="str">
        <f t="shared" si="9"/>
        <v>236851</v>
      </c>
      <c r="K316" s="83">
        <v>3772.3220000000001</v>
      </c>
    </row>
    <row r="317" spans="1:11" ht="15">
      <c r="A317" s="81">
        <v>23800</v>
      </c>
      <c r="B317" s="81">
        <v>1</v>
      </c>
      <c r="C317" s="81">
        <v>4</v>
      </c>
      <c r="D317" s="81">
        <v>1</v>
      </c>
      <c r="E317" s="81">
        <f t="shared" si="8"/>
        <v>2514.8809999999999</v>
      </c>
      <c r="H317" s="83">
        <v>23685</v>
      </c>
      <c r="I317" s="83">
        <v>2</v>
      </c>
      <c r="J317" s="83" t="str">
        <f t="shared" si="9"/>
        <v>236852</v>
      </c>
      <c r="K317" s="83">
        <v>3772.3220000000001</v>
      </c>
    </row>
    <row r="318" spans="1:11" ht="15">
      <c r="A318" s="81">
        <v>23800</v>
      </c>
      <c r="B318" s="81">
        <v>2</v>
      </c>
      <c r="C318" s="81">
        <v>3</v>
      </c>
      <c r="D318" s="81">
        <v>1</v>
      </c>
      <c r="E318" s="81">
        <f t="shared" si="8"/>
        <v>2514.8809999999999</v>
      </c>
      <c r="H318" s="83">
        <v>23800</v>
      </c>
      <c r="I318" s="83">
        <v>1</v>
      </c>
      <c r="J318" s="83" t="str">
        <f t="shared" si="9"/>
        <v>238001</v>
      </c>
      <c r="K318" s="83">
        <v>2514.8809999999999</v>
      </c>
    </row>
    <row r="319" spans="1:11" ht="15">
      <c r="A319" s="81">
        <v>23800</v>
      </c>
      <c r="B319" s="81">
        <v>3</v>
      </c>
      <c r="C319" s="81">
        <v>2.25</v>
      </c>
      <c r="D319" s="81">
        <v>1</v>
      </c>
      <c r="E319" s="81">
        <f t="shared" si="8"/>
        <v>2514.8809999999999</v>
      </c>
      <c r="H319" s="83">
        <v>23800</v>
      </c>
      <c r="I319" s="83">
        <v>2</v>
      </c>
      <c r="J319" s="83" t="str">
        <f t="shared" si="9"/>
        <v>238002</v>
      </c>
      <c r="K319" s="83">
        <v>2514.8809999999999</v>
      </c>
    </row>
    <row r="320" spans="1:11" ht="15">
      <c r="A320" s="81">
        <v>23899</v>
      </c>
      <c r="B320" s="81">
        <v>1</v>
      </c>
      <c r="C320" s="81">
        <v>1.5</v>
      </c>
      <c r="D320" s="81">
        <v>1</v>
      </c>
      <c r="E320" s="81">
        <f t="shared" si="8"/>
        <v>2514.8809999999999</v>
      </c>
      <c r="H320" s="83">
        <v>23800</v>
      </c>
      <c r="I320" s="83">
        <v>3</v>
      </c>
      <c r="J320" s="83" t="str">
        <f t="shared" si="9"/>
        <v>238003</v>
      </c>
      <c r="K320" s="83">
        <v>2514.8809999999999</v>
      </c>
    </row>
    <row r="321" spans="1:11" ht="15">
      <c r="A321" s="81">
        <v>23899</v>
      </c>
      <c r="B321" s="81">
        <v>2</v>
      </c>
      <c r="C321" s="81">
        <v>1.5</v>
      </c>
      <c r="D321" s="81">
        <v>1</v>
      </c>
      <c r="E321" s="81">
        <f t="shared" si="8"/>
        <v>2514.8809999999999</v>
      </c>
      <c r="H321" s="83">
        <v>23899</v>
      </c>
      <c r="I321" s="83">
        <v>1</v>
      </c>
      <c r="J321" s="83" t="str">
        <f t="shared" si="9"/>
        <v>238991</v>
      </c>
      <c r="K321" s="83">
        <v>2514.8809999999999</v>
      </c>
    </row>
    <row r="322" spans="1:11" ht="15">
      <c r="A322" s="81">
        <v>23899</v>
      </c>
      <c r="B322" s="81">
        <v>3</v>
      </c>
      <c r="C322" s="81">
        <v>1.5</v>
      </c>
      <c r="D322" s="81">
        <v>1</v>
      </c>
      <c r="E322" s="81">
        <f t="shared" si="8"/>
        <v>2514.8809999999999</v>
      </c>
      <c r="H322" s="83">
        <v>23899</v>
      </c>
      <c r="I322" s="83">
        <v>2</v>
      </c>
      <c r="J322" s="83" t="str">
        <f t="shared" si="9"/>
        <v>238992</v>
      </c>
      <c r="K322" s="83">
        <v>2514.8809999999999</v>
      </c>
    </row>
    <row r="323" spans="1:11" ht="15">
      <c r="A323" s="81">
        <v>23996</v>
      </c>
      <c r="B323" s="81">
        <v>1</v>
      </c>
      <c r="C323" s="81">
        <v>2.5</v>
      </c>
      <c r="D323" s="81">
        <v>1</v>
      </c>
      <c r="E323" s="81">
        <f t="shared" ref="E323:E386" si="10">VLOOKUP(A323&amp;B323,$J$2:$K$553,2,FALSE)</f>
        <v>3772.3220000000001</v>
      </c>
      <c r="H323" s="83">
        <v>23899</v>
      </c>
      <c r="I323" s="83">
        <v>3</v>
      </c>
      <c r="J323" s="83" t="str">
        <f t="shared" ref="J323:J386" si="11">H323&amp;I323</f>
        <v>238993</v>
      </c>
      <c r="K323" s="83">
        <v>2514.8809999999999</v>
      </c>
    </row>
    <row r="324" spans="1:11" ht="15">
      <c r="A324" s="81">
        <v>23996</v>
      </c>
      <c r="B324" s="81">
        <v>2</v>
      </c>
      <c r="C324" s="81">
        <v>2.5</v>
      </c>
      <c r="D324" s="81">
        <v>1</v>
      </c>
      <c r="E324" s="81">
        <f t="shared" si="10"/>
        <v>3772.3220000000001</v>
      </c>
      <c r="H324" s="83">
        <v>23996</v>
      </c>
      <c r="I324" s="83">
        <v>1</v>
      </c>
      <c r="J324" s="83" t="str">
        <f t="shared" si="11"/>
        <v>239961</v>
      </c>
      <c r="K324" s="83">
        <v>3772.3220000000001</v>
      </c>
    </row>
    <row r="325" spans="1:11" ht="15">
      <c r="A325" s="81">
        <v>24009</v>
      </c>
      <c r="B325" s="81">
        <v>1</v>
      </c>
      <c r="C325" s="81">
        <v>2</v>
      </c>
      <c r="D325" s="81">
        <v>1</v>
      </c>
      <c r="E325" s="81">
        <f t="shared" si="10"/>
        <v>2514.8809999999999</v>
      </c>
      <c r="H325" s="83">
        <v>23996</v>
      </c>
      <c r="I325" s="83">
        <v>2</v>
      </c>
      <c r="J325" s="83" t="str">
        <f t="shared" si="11"/>
        <v>239962</v>
      </c>
      <c r="K325" s="83">
        <v>3772.3220000000001</v>
      </c>
    </row>
    <row r="326" spans="1:11" ht="15">
      <c r="A326" s="81">
        <v>24009</v>
      </c>
      <c r="B326" s="81">
        <v>2</v>
      </c>
      <c r="C326" s="81">
        <v>2</v>
      </c>
      <c r="D326" s="81">
        <v>1</v>
      </c>
      <c r="E326" s="81">
        <f t="shared" si="10"/>
        <v>2514.8809999999999</v>
      </c>
      <c r="H326" s="83">
        <v>24009</v>
      </c>
      <c r="I326" s="83">
        <v>1</v>
      </c>
      <c r="J326" s="83" t="str">
        <f t="shared" si="11"/>
        <v>240091</v>
      </c>
      <c r="K326" s="83">
        <v>2514.8809999999999</v>
      </c>
    </row>
    <row r="327" spans="1:11" ht="15">
      <c r="A327" s="81">
        <v>24009</v>
      </c>
      <c r="B327" s="81">
        <v>3</v>
      </c>
      <c r="C327" s="81">
        <v>2</v>
      </c>
      <c r="D327" s="81">
        <v>1</v>
      </c>
      <c r="E327" s="81">
        <f t="shared" si="10"/>
        <v>2514.8809999999999</v>
      </c>
      <c r="H327" s="83">
        <v>24009</v>
      </c>
      <c r="I327" s="83">
        <v>2</v>
      </c>
      <c r="J327" s="83" t="str">
        <f t="shared" si="11"/>
        <v>240092</v>
      </c>
      <c r="K327" s="83">
        <v>2514.8809999999999</v>
      </c>
    </row>
    <row r="328" spans="1:11" ht="15">
      <c r="A328" s="81">
        <v>24123</v>
      </c>
      <c r="B328" s="81">
        <v>1</v>
      </c>
      <c r="C328" s="81">
        <v>2.5</v>
      </c>
      <c r="D328" s="81">
        <v>1</v>
      </c>
      <c r="E328" s="81">
        <f t="shared" si="10"/>
        <v>3772.3220000000001</v>
      </c>
      <c r="H328" s="83">
        <v>24009</v>
      </c>
      <c r="I328" s="83">
        <v>3</v>
      </c>
      <c r="J328" s="83" t="str">
        <f t="shared" si="11"/>
        <v>240093</v>
      </c>
      <c r="K328" s="83">
        <v>2514.8809999999999</v>
      </c>
    </row>
    <row r="329" spans="1:11" ht="15">
      <c r="A329" s="81">
        <v>24123</v>
      </c>
      <c r="B329" s="81">
        <v>2</v>
      </c>
      <c r="C329" s="81">
        <v>2</v>
      </c>
      <c r="D329" s="81">
        <v>1</v>
      </c>
      <c r="E329" s="81">
        <f t="shared" si="10"/>
        <v>3772.3220000000001</v>
      </c>
      <c r="H329" s="83">
        <v>24123</v>
      </c>
      <c r="I329" s="83">
        <v>1</v>
      </c>
      <c r="J329" s="83" t="str">
        <f t="shared" si="11"/>
        <v>241231</v>
      </c>
      <c r="K329" s="83">
        <v>3772.3220000000001</v>
      </c>
    </row>
    <row r="330" spans="1:11" ht="15">
      <c r="A330" s="81">
        <v>24139</v>
      </c>
      <c r="B330" s="81">
        <v>1</v>
      </c>
      <c r="C330" s="81">
        <v>2.5</v>
      </c>
      <c r="D330" s="81">
        <v>1</v>
      </c>
      <c r="E330" s="81">
        <f t="shared" si="10"/>
        <v>3772.3220000000001</v>
      </c>
      <c r="H330" s="83">
        <v>24123</v>
      </c>
      <c r="I330" s="83">
        <v>2</v>
      </c>
      <c r="J330" s="83" t="str">
        <f t="shared" si="11"/>
        <v>241232</v>
      </c>
      <c r="K330" s="83">
        <v>3772.3220000000001</v>
      </c>
    </row>
    <row r="331" spans="1:11" ht="15">
      <c r="A331" s="81">
        <v>24139</v>
      </c>
      <c r="B331" s="81">
        <v>2</v>
      </c>
      <c r="C331" s="81">
        <v>1.5</v>
      </c>
      <c r="D331" s="81">
        <v>1</v>
      </c>
      <c r="E331" s="81">
        <f t="shared" si="10"/>
        <v>3772.3220000000001</v>
      </c>
      <c r="H331" s="83">
        <v>24139</v>
      </c>
      <c r="I331" s="83">
        <v>1</v>
      </c>
      <c r="J331" s="83" t="str">
        <f t="shared" si="11"/>
        <v>241391</v>
      </c>
      <c r="K331" s="83">
        <v>3772.3220000000001</v>
      </c>
    </row>
    <row r="332" spans="1:11" ht="15">
      <c r="A332" s="81">
        <v>24637</v>
      </c>
      <c r="B332" s="81">
        <v>1</v>
      </c>
      <c r="C332" s="81">
        <v>2</v>
      </c>
      <c r="D332" s="81">
        <v>1</v>
      </c>
      <c r="E332" s="81">
        <f t="shared" si="10"/>
        <v>2514.8809999999999</v>
      </c>
      <c r="H332" s="83">
        <v>24139</v>
      </c>
      <c r="I332" s="83">
        <v>2</v>
      </c>
      <c r="J332" s="83" t="str">
        <f t="shared" si="11"/>
        <v>241392</v>
      </c>
      <c r="K332" s="83">
        <v>3772.3220000000001</v>
      </c>
    </row>
    <row r="333" spans="1:11" ht="15">
      <c r="A333" s="81">
        <v>24637</v>
      </c>
      <c r="B333" s="81">
        <v>2</v>
      </c>
      <c r="C333" s="81">
        <v>2</v>
      </c>
      <c r="D333" s="81">
        <v>1</v>
      </c>
      <c r="E333" s="81">
        <f t="shared" si="10"/>
        <v>2514.8809999999999</v>
      </c>
      <c r="H333" s="83">
        <v>24637</v>
      </c>
      <c r="I333" s="83">
        <v>1</v>
      </c>
      <c r="J333" s="83" t="str">
        <f t="shared" si="11"/>
        <v>246371</v>
      </c>
      <c r="K333" s="83">
        <v>2514.8809999999999</v>
      </c>
    </row>
    <row r="334" spans="1:11" ht="15">
      <c r="A334" s="81">
        <v>24637</v>
      </c>
      <c r="B334" s="81">
        <v>3</v>
      </c>
      <c r="C334" s="81">
        <v>2</v>
      </c>
      <c r="D334" s="81">
        <v>2</v>
      </c>
      <c r="E334" s="81">
        <f t="shared" si="10"/>
        <v>2514.8809999999999</v>
      </c>
      <c r="H334" s="83">
        <v>24637</v>
      </c>
      <c r="I334" s="83">
        <v>2</v>
      </c>
      <c r="J334" s="83" t="str">
        <f t="shared" si="11"/>
        <v>246372</v>
      </c>
      <c r="K334" s="83">
        <v>2514.8809999999999</v>
      </c>
    </row>
    <row r="335" spans="1:11" ht="15">
      <c r="A335" s="81">
        <v>24802</v>
      </c>
      <c r="B335" s="81">
        <v>1</v>
      </c>
      <c r="C335" s="81">
        <v>1.5</v>
      </c>
      <c r="D335" s="81">
        <v>1</v>
      </c>
      <c r="E335" s="81">
        <f t="shared" si="10"/>
        <v>2514.8809999999999</v>
      </c>
      <c r="H335" s="83">
        <v>24637</v>
      </c>
      <c r="I335" s="83">
        <v>3</v>
      </c>
      <c r="J335" s="83" t="str">
        <f t="shared" si="11"/>
        <v>246373</v>
      </c>
      <c r="K335" s="83">
        <v>2514.8809999999999</v>
      </c>
    </row>
    <row r="336" spans="1:11" ht="15">
      <c r="A336" s="81">
        <v>24802</v>
      </c>
      <c r="B336" s="81">
        <v>2</v>
      </c>
      <c r="C336" s="81">
        <v>1.25</v>
      </c>
      <c r="D336" s="81">
        <v>1</v>
      </c>
      <c r="E336" s="81">
        <f t="shared" si="10"/>
        <v>2514.8809999999999</v>
      </c>
      <c r="H336" s="83">
        <v>24802</v>
      </c>
      <c r="I336" s="83">
        <v>1</v>
      </c>
      <c r="J336" s="83" t="str">
        <f t="shared" si="11"/>
        <v>248021</v>
      </c>
      <c r="K336" s="83">
        <v>2514.8809999999999</v>
      </c>
    </row>
    <row r="337" spans="1:11" ht="15">
      <c r="A337" s="81">
        <v>24802</v>
      </c>
      <c r="B337" s="81">
        <v>3</v>
      </c>
      <c r="C337" s="81">
        <v>1.25</v>
      </c>
      <c r="D337" s="81">
        <v>1</v>
      </c>
      <c r="E337" s="81">
        <f t="shared" si="10"/>
        <v>2514.8809999999999</v>
      </c>
      <c r="H337" s="83">
        <v>24802</v>
      </c>
      <c r="I337" s="83">
        <v>2</v>
      </c>
      <c r="J337" s="83" t="str">
        <f t="shared" si="11"/>
        <v>248022</v>
      </c>
      <c r="K337" s="83">
        <v>2514.8809999999999</v>
      </c>
    </row>
    <row r="338" spans="1:11" ht="15">
      <c r="A338" s="81">
        <v>29940</v>
      </c>
      <c r="B338" s="81">
        <v>1</v>
      </c>
      <c r="C338" s="81">
        <v>3</v>
      </c>
      <c r="D338" s="81">
        <v>2</v>
      </c>
      <c r="E338" s="81">
        <f t="shared" si="10"/>
        <v>547.61710000000005</v>
      </c>
      <c r="H338" s="83">
        <v>24802</v>
      </c>
      <c r="I338" s="83">
        <v>3</v>
      </c>
      <c r="J338" s="83" t="str">
        <f t="shared" si="11"/>
        <v>248023</v>
      </c>
      <c r="K338" s="83">
        <v>2514.8809999999999</v>
      </c>
    </row>
    <row r="339" spans="1:11" ht="15">
      <c r="A339" s="81">
        <v>29940</v>
      </c>
      <c r="B339" s="81">
        <v>2</v>
      </c>
      <c r="C339" s="81">
        <v>2.5</v>
      </c>
      <c r="D339" s="81">
        <v>2</v>
      </c>
      <c r="E339" s="81">
        <f t="shared" si="10"/>
        <v>547.61710000000005</v>
      </c>
      <c r="H339" s="83">
        <v>29940</v>
      </c>
      <c r="I339" s="83">
        <v>1</v>
      </c>
      <c r="J339" s="83" t="str">
        <f t="shared" si="11"/>
        <v>299401</v>
      </c>
      <c r="K339" s="83">
        <v>547.61710000000005</v>
      </c>
    </row>
    <row r="340" spans="1:11" ht="15">
      <c r="A340" s="81">
        <v>60022</v>
      </c>
      <c r="B340" s="81">
        <v>1</v>
      </c>
      <c r="C340" s="81">
        <v>3.5</v>
      </c>
      <c r="D340" s="81">
        <v>1</v>
      </c>
      <c r="E340" s="81">
        <f t="shared" si="10"/>
        <v>2402.152</v>
      </c>
      <c r="H340" s="83">
        <v>29940</v>
      </c>
      <c r="I340" s="83">
        <v>2</v>
      </c>
      <c r="J340" s="83" t="str">
        <f t="shared" si="11"/>
        <v>299402</v>
      </c>
      <c r="K340" s="83">
        <v>547.61710000000005</v>
      </c>
    </row>
    <row r="341" spans="1:11" ht="15">
      <c r="A341" s="81">
        <v>60022</v>
      </c>
      <c r="B341" s="81">
        <v>2</v>
      </c>
      <c r="C341" s="81">
        <v>3.5</v>
      </c>
      <c r="D341" s="81">
        <v>1</v>
      </c>
      <c r="E341" s="81">
        <f t="shared" si="10"/>
        <v>2402.152</v>
      </c>
      <c r="H341" s="83">
        <v>60022</v>
      </c>
      <c r="I341" s="83">
        <v>1</v>
      </c>
      <c r="J341" s="83" t="str">
        <f t="shared" si="11"/>
        <v>600221</v>
      </c>
      <c r="K341" s="83">
        <v>2402.152</v>
      </c>
    </row>
    <row r="342" spans="1:11" ht="15">
      <c r="A342" s="81">
        <v>60051</v>
      </c>
      <c r="B342" s="81">
        <v>1</v>
      </c>
      <c r="C342" s="81">
        <v>2.25</v>
      </c>
      <c r="D342" s="81">
        <v>2</v>
      </c>
      <c r="E342" s="81">
        <f t="shared" si="10"/>
        <v>1601.434</v>
      </c>
      <c r="H342" s="83">
        <v>60022</v>
      </c>
      <c r="I342" s="83">
        <v>2</v>
      </c>
      <c r="J342" s="83" t="str">
        <f t="shared" si="11"/>
        <v>600222</v>
      </c>
      <c r="K342" s="83">
        <v>2402.152</v>
      </c>
    </row>
    <row r="343" spans="1:11" ht="15">
      <c r="A343" s="81">
        <v>60051</v>
      </c>
      <c r="B343" s="81">
        <v>2</v>
      </c>
      <c r="C343" s="81">
        <v>2.5</v>
      </c>
      <c r="D343" s="81">
        <v>2</v>
      </c>
      <c r="E343" s="81">
        <f t="shared" si="10"/>
        <v>1601.434</v>
      </c>
      <c r="H343" s="83">
        <v>60051</v>
      </c>
      <c r="I343" s="83">
        <v>1</v>
      </c>
      <c r="J343" s="83" t="str">
        <f t="shared" si="11"/>
        <v>600511</v>
      </c>
      <c r="K343" s="83">
        <v>1601.434</v>
      </c>
    </row>
    <row r="344" spans="1:11" ht="15">
      <c r="A344" s="81">
        <v>60051</v>
      </c>
      <c r="B344" s="81">
        <v>3</v>
      </c>
      <c r="C344" s="81">
        <v>1.5</v>
      </c>
      <c r="D344" s="81">
        <v>2</v>
      </c>
      <c r="E344" s="81">
        <f t="shared" si="10"/>
        <v>1601.434</v>
      </c>
      <c r="H344" s="83">
        <v>60051</v>
      </c>
      <c r="I344" s="83">
        <v>2</v>
      </c>
      <c r="J344" s="83" t="str">
        <f t="shared" si="11"/>
        <v>600512</v>
      </c>
      <c r="K344" s="83">
        <v>1601.434</v>
      </c>
    </row>
    <row r="345" spans="1:11" ht="15">
      <c r="A345" s="81">
        <v>60071</v>
      </c>
      <c r="B345" s="81">
        <v>1</v>
      </c>
      <c r="D345" s="81">
        <v>1</v>
      </c>
      <c r="E345" s="81">
        <f t="shared" si="10"/>
        <v>2402.152</v>
      </c>
      <c r="H345" s="83">
        <v>60051</v>
      </c>
      <c r="I345" s="83">
        <v>3</v>
      </c>
      <c r="J345" s="83" t="str">
        <f t="shared" si="11"/>
        <v>600513</v>
      </c>
      <c r="K345" s="83">
        <v>1601.434</v>
      </c>
    </row>
    <row r="346" spans="1:11" ht="15">
      <c r="A346" s="81">
        <v>60071</v>
      </c>
      <c r="B346" s="81">
        <v>2</v>
      </c>
      <c r="C346" s="81">
        <v>1.8999999761581401</v>
      </c>
      <c r="D346" s="81">
        <v>1</v>
      </c>
      <c r="E346" s="81">
        <f t="shared" si="10"/>
        <v>2402.152</v>
      </c>
      <c r="H346" s="83">
        <v>60071</v>
      </c>
      <c r="I346" s="83">
        <v>1</v>
      </c>
      <c r="J346" s="83" t="str">
        <f t="shared" si="11"/>
        <v>600711</v>
      </c>
      <c r="K346" s="83">
        <v>2402.152</v>
      </c>
    </row>
    <row r="347" spans="1:11" ht="15">
      <c r="A347" s="81">
        <v>60099</v>
      </c>
      <c r="B347" s="81">
        <v>1</v>
      </c>
      <c r="C347" s="81">
        <v>1.6000000238418599</v>
      </c>
      <c r="D347" s="81">
        <v>1</v>
      </c>
      <c r="E347" s="81">
        <f t="shared" si="10"/>
        <v>1601.4349999999999</v>
      </c>
      <c r="H347" s="83">
        <v>60071</v>
      </c>
      <c r="I347" s="83">
        <v>2</v>
      </c>
      <c r="J347" s="83" t="str">
        <f t="shared" si="11"/>
        <v>600712</v>
      </c>
      <c r="K347" s="83">
        <v>2402.152</v>
      </c>
    </row>
    <row r="348" spans="1:11" ht="15">
      <c r="A348" s="81">
        <v>60099</v>
      </c>
      <c r="B348" s="81">
        <v>2</v>
      </c>
      <c r="C348" s="81">
        <v>1.6000000238418599</v>
      </c>
      <c r="D348" s="81">
        <v>1</v>
      </c>
      <c r="E348" s="81">
        <f t="shared" si="10"/>
        <v>1601.4349999999999</v>
      </c>
      <c r="H348" s="83">
        <v>60099</v>
      </c>
      <c r="I348" s="83">
        <v>1</v>
      </c>
      <c r="J348" s="83" t="str">
        <f t="shared" si="11"/>
        <v>600991</v>
      </c>
      <c r="K348" s="83">
        <v>1601.4349999999999</v>
      </c>
    </row>
    <row r="349" spans="1:11" ht="15">
      <c r="A349" s="81">
        <v>60099</v>
      </c>
      <c r="B349" s="81">
        <v>3</v>
      </c>
      <c r="C349" s="81">
        <v>1.8999999761581401</v>
      </c>
      <c r="D349" s="81">
        <v>1</v>
      </c>
      <c r="E349" s="81">
        <f t="shared" si="10"/>
        <v>1601.4349999999999</v>
      </c>
      <c r="H349" s="83">
        <v>60099</v>
      </c>
      <c r="I349" s="83">
        <v>2</v>
      </c>
      <c r="J349" s="83" t="str">
        <f t="shared" si="11"/>
        <v>600992</v>
      </c>
      <c r="K349" s="83">
        <v>1601.4349999999999</v>
      </c>
    </row>
    <row r="350" spans="1:11" ht="15">
      <c r="A350" s="81">
        <v>71001</v>
      </c>
      <c r="B350" s="81">
        <v>1</v>
      </c>
      <c r="C350" s="81">
        <v>1.75</v>
      </c>
      <c r="D350" s="81">
        <v>1</v>
      </c>
      <c r="E350" s="81">
        <f t="shared" si="10"/>
        <v>547.61710000000005</v>
      </c>
      <c r="H350" s="83">
        <v>60099</v>
      </c>
      <c r="I350" s="83">
        <v>3</v>
      </c>
      <c r="J350" s="83" t="str">
        <f t="shared" si="11"/>
        <v>600993</v>
      </c>
      <c r="K350" s="83">
        <v>1601.4349999999999</v>
      </c>
    </row>
    <row r="351" spans="1:11" ht="15">
      <c r="A351" s="81">
        <v>71001</v>
      </c>
      <c r="B351" s="81">
        <v>2</v>
      </c>
      <c r="C351" s="81">
        <v>2</v>
      </c>
      <c r="D351" s="81">
        <v>1</v>
      </c>
      <c r="E351" s="81">
        <f t="shared" si="10"/>
        <v>547.61710000000005</v>
      </c>
      <c r="H351" s="83">
        <v>71001</v>
      </c>
      <c r="I351" s="83">
        <v>1</v>
      </c>
      <c r="J351" s="83" t="str">
        <f t="shared" si="11"/>
        <v>710011</v>
      </c>
      <c r="K351" s="83">
        <v>547.61710000000005</v>
      </c>
    </row>
    <row r="352" spans="1:11" ht="15">
      <c r="A352" s="81">
        <v>71002</v>
      </c>
      <c r="B352" s="81">
        <v>1</v>
      </c>
      <c r="C352" s="81">
        <v>3.5</v>
      </c>
      <c r="D352" s="81">
        <v>2</v>
      </c>
      <c r="E352" s="81">
        <f t="shared" si="10"/>
        <v>547.61710000000005</v>
      </c>
      <c r="H352" s="83">
        <v>71001</v>
      </c>
      <c r="I352" s="83">
        <v>2</v>
      </c>
      <c r="J352" s="83" t="str">
        <f t="shared" si="11"/>
        <v>710012</v>
      </c>
      <c r="K352" s="83">
        <v>547.61710000000005</v>
      </c>
    </row>
    <row r="353" spans="1:11" ht="15">
      <c r="A353" s="81">
        <v>71002</v>
      </c>
      <c r="B353" s="81">
        <v>2</v>
      </c>
      <c r="C353" s="81">
        <v>2</v>
      </c>
      <c r="D353" s="81">
        <v>2</v>
      </c>
      <c r="E353" s="81">
        <f t="shared" si="10"/>
        <v>547.61710000000005</v>
      </c>
      <c r="H353" s="83">
        <v>71002</v>
      </c>
      <c r="I353" s="83">
        <v>1</v>
      </c>
      <c r="J353" s="83" t="str">
        <f t="shared" si="11"/>
        <v>710021</v>
      </c>
      <c r="K353" s="83">
        <v>547.61710000000005</v>
      </c>
    </row>
    <row r="354" spans="1:11" ht="15">
      <c r="A354" s="81">
        <v>71003</v>
      </c>
      <c r="B354" s="81">
        <v>1</v>
      </c>
      <c r="C354" s="81">
        <v>1.8999999761581401</v>
      </c>
      <c r="D354" s="81">
        <v>1</v>
      </c>
      <c r="E354" s="81">
        <f t="shared" si="10"/>
        <v>547.61710000000005</v>
      </c>
      <c r="H354" s="83">
        <v>71002</v>
      </c>
      <c r="I354" s="83">
        <v>2</v>
      </c>
      <c r="J354" s="83" t="str">
        <f t="shared" si="11"/>
        <v>710022</v>
      </c>
      <c r="K354" s="83">
        <v>547.61710000000005</v>
      </c>
    </row>
    <row r="355" spans="1:11" ht="15">
      <c r="A355" s="81">
        <v>71003</v>
      </c>
      <c r="B355" s="81">
        <v>2</v>
      </c>
      <c r="C355" s="81">
        <v>2</v>
      </c>
      <c r="D355" s="81">
        <v>1</v>
      </c>
      <c r="E355" s="81">
        <f t="shared" si="10"/>
        <v>547.61710000000005</v>
      </c>
      <c r="H355" s="83">
        <v>71003</v>
      </c>
      <c r="I355" s="83">
        <v>1</v>
      </c>
      <c r="J355" s="83" t="str">
        <f t="shared" si="11"/>
        <v>710031</v>
      </c>
      <c r="K355" s="83">
        <v>547.61710000000005</v>
      </c>
    </row>
    <row r="356" spans="1:11" ht="15">
      <c r="A356" s="81">
        <v>71004</v>
      </c>
      <c r="B356" s="81">
        <v>1</v>
      </c>
      <c r="C356" s="81">
        <v>1.75</v>
      </c>
      <c r="D356" s="81">
        <v>1</v>
      </c>
      <c r="E356" s="81">
        <f t="shared" si="10"/>
        <v>547.61710000000005</v>
      </c>
      <c r="H356" s="83">
        <v>71003</v>
      </c>
      <c r="I356" s="83">
        <v>2</v>
      </c>
      <c r="J356" s="83" t="str">
        <f t="shared" si="11"/>
        <v>710032</v>
      </c>
      <c r="K356" s="83">
        <v>547.61710000000005</v>
      </c>
    </row>
    <row r="357" spans="1:11" ht="15">
      <c r="A357" s="81">
        <v>71004</v>
      </c>
      <c r="B357" s="81">
        <v>2</v>
      </c>
      <c r="C357" s="81">
        <v>2</v>
      </c>
      <c r="D357" s="81">
        <v>1</v>
      </c>
      <c r="E357" s="81">
        <f t="shared" si="10"/>
        <v>547.61710000000005</v>
      </c>
      <c r="H357" s="83">
        <v>71004</v>
      </c>
      <c r="I357" s="83">
        <v>1</v>
      </c>
      <c r="J357" s="83" t="str">
        <f t="shared" si="11"/>
        <v>710041</v>
      </c>
      <c r="K357" s="83">
        <v>547.61710000000005</v>
      </c>
    </row>
    <row r="358" spans="1:11" ht="15">
      <c r="A358" s="81">
        <v>71005</v>
      </c>
      <c r="B358" s="81">
        <v>1</v>
      </c>
      <c r="C358" s="81">
        <v>2</v>
      </c>
      <c r="D358" s="81">
        <v>1</v>
      </c>
      <c r="E358" s="81">
        <f t="shared" si="10"/>
        <v>547.61710000000005</v>
      </c>
      <c r="H358" s="83">
        <v>71004</v>
      </c>
      <c r="I358" s="83">
        <v>2</v>
      </c>
      <c r="J358" s="83" t="str">
        <f t="shared" si="11"/>
        <v>710042</v>
      </c>
      <c r="K358" s="83">
        <v>547.61710000000005</v>
      </c>
    </row>
    <row r="359" spans="1:11" ht="15">
      <c r="A359" s="81">
        <v>71005</v>
      </c>
      <c r="B359" s="81">
        <v>2</v>
      </c>
      <c r="C359" s="81">
        <v>2</v>
      </c>
      <c r="D359" s="81">
        <v>1</v>
      </c>
      <c r="E359" s="81">
        <f t="shared" si="10"/>
        <v>547.61710000000005</v>
      </c>
      <c r="H359" s="83">
        <v>71005</v>
      </c>
      <c r="I359" s="83">
        <v>1</v>
      </c>
      <c r="J359" s="83" t="str">
        <f t="shared" si="11"/>
        <v>710051</v>
      </c>
      <c r="K359" s="83">
        <v>547.61710000000005</v>
      </c>
    </row>
    <row r="360" spans="1:11" ht="15">
      <c r="A360" s="81">
        <v>71006</v>
      </c>
      <c r="B360" s="81">
        <v>1</v>
      </c>
      <c r="C360" s="81">
        <v>2.9000000953674299</v>
      </c>
      <c r="D360" s="81">
        <v>1</v>
      </c>
      <c r="E360" s="81">
        <f t="shared" si="10"/>
        <v>547.61710000000005</v>
      </c>
      <c r="H360" s="83">
        <v>71005</v>
      </c>
      <c r="I360" s="83">
        <v>2</v>
      </c>
      <c r="J360" s="83" t="str">
        <f t="shared" si="11"/>
        <v>710052</v>
      </c>
      <c r="K360" s="83">
        <v>547.61710000000005</v>
      </c>
    </row>
    <row r="361" spans="1:11" ht="15">
      <c r="A361" s="81">
        <v>71006</v>
      </c>
      <c r="B361" s="81">
        <v>2</v>
      </c>
      <c r="C361" s="81">
        <v>3</v>
      </c>
      <c r="D361" s="81">
        <v>1</v>
      </c>
      <c r="E361" s="81">
        <f t="shared" si="10"/>
        <v>547.61710000000005</v>
      </c>
      <c r="H361" s="83">
        <v>71006</v>
      </c>
      <c r="I361" s="83">
        <v>1</v>
      </c>
      <c r="J361" s="83" t="str">
        <f t="shared" si="11"/>
        <v>710061</v>
      </c>
      <c r="K361" s="83">
        <v>547.61710000000005</v>
      </c>
    </row>
    <row r="362" spans="1:11" ht="15">
      <c r="A362" s="81">
        <v>71007</v>
      </c>
      <c r="B362" s="81">
        <v>1</v>
      </c>
      <c r="C362" s="81">
        <v>4.25</v>
      </c>
      <c r="D362" s="81">
        <v>1</v>
      </c>
      <c r="E362" s="81">
        <f t="shared" si="10"/>
        <v>547.61710000000005</v>
      </c>
      <c r="H362" s="83">
        <v>71006</v>
      </c>
      <c r="I362" s="83">
        <v>2</v>
      </c>
      <c r="J362" s="83" t="str">
        <f t="shared" si="11"/>
        <v>710062</v>
      </c>
      <c r="K362" s="83">
        <v>547.61710000000005</v>
      </c>
    </row>
    <row r="363" spans="1:11" ht="15">
      <c r="A363" s="81">
        <v>71007</v>
      </c>
      <c r="B363" s="81">
        <v>2</v>
      </c>
      <c r="C363" s="81">
        <v>0.75</v>
      </c>
      <c r="D363" s="81">
        <v>2</v>
      </c>
      <c r="E363" s="81">
        <f t="shared" si="10"/>
        <v>547.61710000000005</v>
      </c>
      <c r="H363" s="83">
        <v>71007</v>
      </c>
      <c r="I363" s="83">
        <v>1</v>
      </c>
      <c r="J363" s="83" t="str">
        <f t="shared" si="11"/>
        <v>710071</v>
      </c>
      <c r="K363" s="83">
        <v>547.61710000000005</v>
      </c>
    </row>
    <row r="364" spans="1:11" ht="15">
      <c r="A364" s="81">
        <v>71008</v>
      </c>
      <c r="B364" s="81">
        <v>1</v>
      </c>
      <c r="C364" s="81">
        <v>1</v>
      </c>
      <c r="D364" s="81">
        <v>1</v>
      </c>
      <c r="E364" s="81">
        <f t="shared" si="10"/>
        <v>547.61710000000005</v>
      </c>
      <c r="H364" s="83">
        <v>71007</v>
      </c>
      <c r="I364" s="83">
        <v>2</v>
      </c>
      <c r="J364" s="83" t="str">
        <f t="shared" si="11"/>
        <v>710072</v>
      </c>
      <c r="K364" s="83">
        <v>547.61710000000005</v>
      </c>
    </row>
    <row r="365" spans="1:11" ht="15">
      <c r="A365" s="81">
        <v>71008</v>
      </c>
      <c r="B365" s="81">
        <v>2</v>
      </c>
      <c r="C365" s="81">
        <v>1</v>
      </c>
      <c r="D365" s="81">
        <v>1</v>
      </c>
      <c r="E365" s="81">
        <f t="shared" si="10"/>
        <v>547.61710000000005</v>
      </c>
      <c r="H365" s="83">
        <v>71008</v>
      </c>
      <c r="I365" s="83">
        <v>1</v>
      </c>
      <c r="J365" s="83" t="str">
        <f t="shared" si="11"/>
        <v>710081</v>
      </c>
      <c r="K365" s="83">
        <v>547.61710000000005</v>
      </c>
    </row>
    <row r="366" spans="1:11" ht="15">
      <c r="A366" s="81">
        <v>71009</v>
      </c>
      <c r="B366" s="81">
        <v>1</v>
      </c>
      <c r="C366" s="81">
        <v>3</v>
      </c>
      <c r="D366" s="81">
        <v>1</v>
      </c>
      <c r="E366" s="81">
        <f t="shared" si="10"/>
        <v>547.61710000000005</v>
      </c>
      <c r="H366" s="83">
        <v>71008</v>
      </c>
      <c r="I366" s="83">
        <v>2</v>
      </c>
      <c r="J366" s="83" t="str">
        <f t="shared" si="11"/>
        <v>710082</v>
      </c>
      <c r="K366" s="83">
        <v>547.61710000000005</v>
      </c>
    </row>
    <row r="367" spans="1:11" ht="15">
      <c r="A367" s="81">
        <v>71009</v>
      </c>
      <c r="B367" s="81">
        <v>2</v>
      </c>
      <c r="C367" s="81">
        <v>2.25</v>
      </c>
      <c r="D367" s="81">
        <v>1</v>
      </c>
      <c r="E367" s="81">
        <f t="shared" si="10"/>
        <v>547.61710000000005</v>
      </c>
      <c r="H367" s="83">
        <v>71009</v>
      </c>
      <c r="I367" s="83">
        <v>1</v>
      </c>
      <c r="J367" s="83" t="str">
        <f t="shared" si="11"/>
        <v>710091</v>
      </c>
      <c r="K367" s="83">
        <v>547.61710000000005</v>
      </c>
    </row>
    <row r="368" spans="1:11" ht="15">
      <c r="A368" s="81">
        <v>71010</v>
      </c>
      <c r="B368" s="81">
        <v>1</v>
      </c>
      <c r="C368" s="81">
        <v>3</v>
      </c>
      <c r="D368" s="81">
        <v>2</v>
      </c>
      <c r="E368" s="81">
        <f t="shared" si="10"/>
        <v>547.61710000000005</v>
      </c>
      <c r="H368" s="83">
        <v>71009</v>
      </c>
      <c r="I368" s="83">
        <v>2</v>
      </c>
      <c r="J368" s="83" t="str">
        <f t="shared" si="11"/>
        <v>710092</v>
      </c>
      <c r="K368" s="83">
        <v>547.61710000000005</v>
      </c>
    </row>
    <row r="369" spans="1:11" ht="15">
      <c r="A369" s="81">
        <v>71010</v>
      </c>
      <c r="B369" s="81">
        <v>2</v>
      </c>
      <c r="C369" s="81">
        <v>5</v>
      </c>
      <c r="D369" s="81">
        <v>2</v>
      </c>
      <c r="E369" s="81">
        <f t="shared" si="10"/>
        <v>547.61710000000005</v>
      </c>
      <c r="H369" s="83">
        <v>71010</v>
      </c>
      <c r="I369" s="83">
        <v>1</v>
      </c>
      <c r="J369" s="83" t="str">
        <f t="shared" si="11"/>
        <v>710101</v>
      </c>
      <c r="K369" s="83">
        <v>547.61710000000005</v>
      </c>
    </row>
    <row r="370" spans="1:11" ht="15">
      <c r="A370" s="81">
        <v>71011</v>
      </c>
      <c r="B370" s="81">
        <v>1</v>
      </c>
      <c r="C370" s="81">
        <v>2</v>
      </c>
      <c r="D370" s="81">
        <v>1</v>
      </c>
      <c r="E370" s="81">
        <f t="shared" si="10"/>
        <v>547.61710000000005</v>
      </c>
      <c r="H370" s="83">
        <v>71010</v>
      </c>
      <c r="I370" s="83">
        <v>2</v>
      </c>
      <c r="J370" s="83" t="str">
        <f t="shared" si="11"/>
        <v>710102</v>
      </c>
      <c r="K370" s="83">
        <v>547.61710000000005</v>
      </c>
    </row>
    <row r="371" spans="1:11" ht="15">
      <c r="A371" s="81">
        <v>71011</v>
      </c>
      <c r="B371" s="81">
        <v>2</v>
      </c>
      <c r="C371" s="81">
        <v>2</v>
      </c>
      <c r="D371" s="81">
        <v>1</v>
      </c>
      <c r="E371" s="81">
        <f t="shared" si="10"/>
        <v>547.61710000000005</v>
      </c>
      <c r="H371" s="83">
        <v>71011</v>
      </c>
      <c r="I371" s="83">
        <v>1</v>
      </c>
      <c r="J371" s="83" t="str">
        <f t="shared" si="11"/>
        <v>710111</v>
      </c>
      <c r="K371" s="83">
        <v>547.61710000000005</v>
      </c>
    </row>
    <row r="372" spans="1:11" ht="15">
      <c r="A372" s="81">
        <v>71012</v>
      </c>
      <c r="B372" s="81">
        <v>1</v>
      </c>
      <c r="C372" s="81">
        <v>1.5</v>
      </c>
      <c r="D372" s="81">
        <v>1</v>
      </c>
      <c r="E372" s="81">
        <f t="shared" si="10"/>
        <v>547.61710000000005</v>
      </c>
      <c r="H372" s="83">
        <v>71011</v>
      </c>
      <c r="I372" s="83">
        <v>2</v>
      </c>
      <c r="J372" s="83" t="str">
        <f t="shared" si="11"/>
        <v>710112</v>
      </c>
      <c r="K372" s="83">
        <v>547.61710000000005</v>
      </c>
    </row>
    <row r="373" spans="1:11" ht="15">
      <c r="A373" s="81">
        <v>71012</v>
      </c>
      <c r="B373" s="81">
        <v>2</v>
      </c>
      <c r="C373" s="81">
        <v>1.5</v>
      </c>
      <c r="D373" s="81">
        <v>1</v>
      </c>
      <c r="E373" s="81">
        <f t="shared" si="10"/>
        <v>547.61710000000005</v>
      </c>
      <c r="H373" s="83">
        <v>71012</v>
      </c>
      <c r="I373" s="83">
        <v>1</v>
      </c>
      <c r="J373" s="83" t="str">
        <f t="shared" si="11"/>
        <v>710121</v>
      </c>
      <c r="K373" s="83">
        <v>547.61710000000005</v>
      </c>
    </row>
    <row r="374" spans="1:11" ht="15">
      <c r="A374" s="81">
        <v>71013</v>
      </c>
      <c r="B374" s="81">
        <v>1</v>
      </c>
      <c r="C374" s="81">
        <v>2</v>
      </c>
      <c r="D374" s="81">
        <v>1</v>
      </c>
      <c r="E374" s="81">
        <f t="shared" si="10"/>
        <v>547.61710000000005</v>
      </c>
      <c r="H374" s="83">
        <v>71012</v>
      </c>
      <c r="I374" s="83">
        <v>2</v>
      </c>
      <c r="J374" s="83" t="str">
        <f t="shared" si="11"/>
        <v>710122</v>
      </c>
      <c r="K374" s="83">
        <v>547.61710000000005</v>
      </c>
    </row>
    <row r="375" spans="1:11" ht="15">
      <c r="A375" s="81">
        <v>71013</v>
      </c>
      <c r="B375" s="81">
        <v>2</v>
      </c>
      <c r="C375" s="81">
        <v>1.25</v>
      </c>
      <c r="D375" s="81">
        <v>1</v>
      </c>
      <c r="E375" s="81">
        <f t="shared" si="10"/>
        <v>547.61710000000005</v>
      </c>
      <c r="H375" s="83">
        <v>71013</v>
      </c>
      <c r="I375" s="83">
        <v>1</v>
      </c>
      <c r="J375" s="83" t="str">
        <f t="shared" si="11"/>
        <v>710131</v>
      </c>
      <c r="K375" s="83">
        <v>547.61710000000005</v>
      </c>
    </row>
    <row r="376" spans="1:11" ht="15">
      <c r="A376" s="81">
        <v>71014</v>
      </c>
      <c r="B376" s="81">
        <v>1</v>
      </c>
      <c r="C376" s="81">
        <v>1.8999999761581401</v>
      </c>
      <c r="D376" s="81">
        <v>1</v>
      </c>
      <c r="E376" s="81">
        <f t="shared" si="10"/>
        <v>547.61710000000005</v>
      </c>
      <c r="H376" s="83">
        <v>71013</v>
      </c>
      <c r="I376" s="83">
        <v>2</v>
      </c>
      <c r="J376" s="83" t="str">
        <f t="shared" si="11"/>
        <v>710132</v>
      </c>
      <c r="K376" s="83">
        <v>547.61710000000005</v>
      </c>
    </row>
    <row r="377" spans="1:11" ht="15">
      <c r="A377" s="81">
        <v>71014</v>
      </c>
      <c r="B377" s="81">
        <v>2</v>
      </c>
      <c r="C377" s="81">
        <v>3</v>
      </c>
      <c r="D377" s="81">
        <v>1</v>
      </c>
      <c r="E377" s="81">
        <f t="shared" si="10"/>
        <v>547.61710000000005</v>
      </c>
      <c r="H377" s="83">
        <v>71014</v>
      </c>
      <c r="I377" s="83">
        <v>1</v>
      </c>
      <c r="J377" s="83" t="str">
        <f t="shared" si="11"/>
        <v>710141</v>
      </c>
      <c r="K377" s="83">
        <v>547.61710000000005</v>
      </c>
    </row>
    <row r="378" spans="1:11" ht="15">
      <c r="A378" s="81">
        <v>72001</v>
      </c>
      <c r="B378" s="81">
        <v>1</v>
      </c>
      <c r="C378" s="81">
        <v>1.8999999761581401</v>
      </c>
      <c r="D378" s="81">
        <v>1</v>
      </c>
      <c r="E378" s="81">
        <f t="shared" si="10"/>
        <v>547.61710000000005</v>
      </c>
      <c r="H378" s="83">
        <v>71014</v>
      </c>
      <c r="I378" s="83">
        <v>2</v>
      </c>
      <c r="J378" s="83" t="str">
        <f t="shared" si="11"/>
        <v>710142</v>
      </c>
      <c r="K378" s="83">
        <v>547.61710000000005</v>
      </c>
    </row>
    <row r="379" spans="1:11" ht="15">
      <c r="A379" s="81">
        <v>72001</v>
      </c>
      <c r="B379" s="81">
        <v>2</v>
      </c>
      <c r="C379" s="81">
        <v>1.79999995231628</v>
      </c>
      <c r="D379" s="81">
        <v>1</v>
      </c>
      <c r="E379" s="81">
        <f t="shared" si="10"/>
        <v>547.61710000000005</v>
      </c>
      <c r="H379" s="83">
        <v>72001</v>
      </c>
      <c r="I379" s="83">
        <v>1</v>
      </c>
      <c r="J379" s="83" t="str">
        <f t="shared" si="11"/>
        <v>720011</v>
      </c>
      <c r="K379" s="83">
        <v>547.61710000000005</v>
      </c>
    </row>
    <row r="380" spans="1:11" ht="15">
      <c r="A380" s="81">
        <v>72002</v>
      </c>
      <c r="B380" s="81">
        <v>1</v>
      </c>
      <c r="C380" s="81">
        <v>2.2999999523162802</v>
      </c>
      <c r="D380" s="81">
        <v>2</v>
      </c>
      <c r="E380" s="81">
        <f t="shared" si="10"/>
        <v>547.61710000000005</v>
      </c>
      <c r="H380" s="83">
        <v>72001</v>
      </c>
      <c r="I380" s="83">
        <v>2</v>
      </c>
      <c r="J380" s="83" t="str">
        <f t="shared" si="11"/>
        <v>720012</v>
      </c>
      <c r="K380" s="83">
        <v>547.61710000000005</v>
      </c>
    </row>
    <row r="381" spans="1:11" ht="15">
      <c r="A381" s="81">
        <v>72002</v>
      </c>
      <c r="B381" s="81">
        <v>2</v>
      </c>
      <c r="C381" s="81">
        <v>4</v>
      </c>
      <c r="D381" s="81">
        <v>2</v>
      </c>
      <c r="E381" s="81">
        <f t="shared" si="10"/>
        <v>547.61710000000005</v>
      </c>
      <c r="H381" s="83">
        <v>72002</v>
      </c>
      <c r="I381" s="83">
        <v>1</v>
      </c>
      <c r="J381" s="83" t="str">
        <f t="shared" si="11"/>
        <v>720021</v>
      </c>
      <c r="K381" s="83">
        <v>547.61710000000005</v>
      </c>
    </row>
    <row r="382" spans="1:11" ht="15">
      <c r="A382" s="81">
        <v>72003</v>
      </c>
      <c r="B382" s="81">
        <v>1</v>
      </c>
      <c r="C382" s="81">
        <v>1.5</v>
      </c>
      <c r="D382" s="81">
        <v>1</v>
      </c>
      <c r="E382" s="81">
        <f t="shared" si="10"/>
        <v>547.61710000000005</v>
      </c>
      <c r="H382" s="83">
        <v>72002</v>
      </c>
      <c r="I382" s="83">
        <v>2</v>
      </c>
      <c r="J382" s="83" t="str">
        <f t="shared" si="11"/>
        <v>720022</v>
      </c>
      <c r="K382" s="83">
        <v>547.61710000000005</v>
      </c>
    </row>
    <row r="383" spans="1:11" ht="15">
      <c r="A383" s="81">
        <v>72003</v>
      </c>
      <c r="B383" s="81">
        <v>2</v>
      </c>
      <c r="C383" s="81">
        <v>3</v>
      </c>
      <c r="D383" s="81">
        <v>1</v>
      </c>
      <c r="E383" s="81">
        <f t="shared" si="10"/>
        <v>547.61710000000005</v>
      </c>
      <c r="H383" s="83">
        <v>72003</v>
      </c>
      <c r="I383" s="83">
        <v>1</v>
      </c>
      <c r="J383" s="83" t="str">
        <f t="shared" si="11"/>
        <v>720031</v>
      </c>
      <c r="K383" s="83">
        <v>547.61710000000005</v>
      </c>
    </row>
    <row r="384" spans="1:11" ht="15">
      <c r="A384" s="81">
        <v>72004</v>
      </c>
      <c r="B384" s="81">
        <v>1</v>
      </c>
      <c r="C384" s="81">
        <v>3</v>
      </c>
      <c r="D384" s="81">
        <v>1</v>
      </c>
      <c r="E384" s="81">
        <f t="shared" si="10"/>
        <v>547.61710000000005</v>
      </c>
      <c r="H384" s="83">
        <v>72003</v>
      </c>
      <c r="I384" s="83">
        <v>2</v>
      </c>
      <c r="J384" s="83" t="str">
        <f t="shared" si="11"/>
        <v>720032</v>
      </c>
      <c r="K384" s="83">
        <v>547.61710000000005</v>
      </c>
    </row>
    <row r="385" spans="1:11" ht="15">
      <c r="A385" s="81">
        <v>72004</v>
      </c>
      <c r="B385" s="81">
        <v>2</v>
      </c>
      <c r="C385" s="81">
        <v>2</v>
      </c>
      <c r="D385" s="81">
        <v>1</v>
      </c>
      <c r="E385" s="81">
        <f t="shared" si="10"/>
        <v>547.61710000000005</v>
      </c>
      <c r="H385" s="83">
        <v>72004</v>
      </c>
      <c r="I385" s="83">
        <v>1</v>
      </c>
      <c r="J385" s="83" t="str">
        <f t="shared" si="11"/>
        <v>720041</v>
      </c>
      <c r="K385" s="83">
        <v>547.61710000000005</v>
      </c>
    </row>
    <row r="386" spans="1:11" ht="15">
      <c r="A386" s="81">
        <v>72005</v>
      </c>
      <c r="B386" s="81">
        <v>1</v>
      </c>
      <c r="C386" s="81">
        <v>2</v>
      </c>
      <c r="D386" s="81">
        <v>2</v>
      </c>
      <c r="E386" s="81">
        <f t="shared" si="10"/>
        <v>547.61710000000005</v>
      </c>
      <c r="H386" s="83">
        <v>72004</v>
      </c>
      <c r="I386" s="83">
        <v>2</v>
      </c>
      <c r="J386" s="83" t="str">
        <f t="shared" si="11"/>
        <v>720042</v>
      </c>
      <c r="K386" s="83">
        <v>547.61710000000005</v>
      </c>
    </row>
    <row r="387" spans="1:11" ht="15">
      <c r="A387" s="81">
        <v>72005</v>
      </c>
      <c r="B387" s="81">
        <v>2</v>
      </c>
      <c r="C387" s="81">
        <v>1.75</v>
      </c>
      <c r="D387" s="81">
        <v>2</v>
      </c>
      <c r="E387" s="81">
        <f t="shared" ref="E387:E450" si="12">VLOOKUP(A387&amp;B387,$J$2:$K$553,2,FALSE)</f>
        <v>547.61710000000005</v>
      </c>
      <c r="H387" s="83">
        <v>72005</v>
      </c>
      <c r="I387" s="83">
        <v>1</v>
      </c>
      <c r="J387" s="83" t="str">
        <f t="shared" ref="J387:J450" si="13">H387&amp;I387</f>
        <v>720051</v>
      </c>
      <c r="K387" s="83">
        <v>547.61710000000005</v>
      </c>
    </row>
    <row r="388" spans="1:11" ht="15">
      <c r="A388" s="81">
        <v>72006</v>
      </c>
      <c r="B388" s="81">
        <v>1</v>
      </c>
      <c r="C388" s="81">
        <v>3</v>
      </c>
      <c r="D388" s="81">
        <v>1</v>
      </c>
      <c r="E388" s="81">
        <f t="shared" si="12"/>
        <v>547.61710000000005</v>
      </c>
      <c r="H388" s="83">
        <v>72005</v>
      </c>
      <c r="I388" s="83">
        <v>2</v>
      </c>
      <c r="J388" s="83" t="str">
        <f t="shared" si="13"/>
        <v>720052</v>
      </c>
      <c r="K388" s="83">
        <v>547.61710000000005</v>
      </c>
    </row>
    <row r="389" spans="1:11" ht="15">
      <c r="A389" s="81">
        <v>72006</v>
      </c>
      <c r="B389" s="81">
        <v>2</v>
      </c>
      <c r="C389" s="81">
        <v>3</v>
      </c>
      <c r="D389" s="81">
        <v>1</v>
      </c>
      <c r="E389" s="81">
        <f t="shared" si="12"/>
        <v>547.61710000000005</v>
      </c>
      <c r="H389" s="83">
        <v>72006</v>
      </c>
      <c r="I389" s="83">
        <v>1</v>
      </c>
      <c r="J389" s="83" t="str">
        <f t="shared" si="13"/>
        <v>720061</v>
      </c>
      <c r="K389" s="83">
        <v>547.61710000000005</v>
      </c>
    </row>
    <row r="390" spans="1:11" ht="15">
      <c r="A390" s="81">
        <v>72007</v>
      </c>
      <c r="B390" s="81">
        <v>1</v>
      </c>
      <c r="C390" s="81">
        <v>1.75</v>
      </c>
      <c r="D390" s="81">
        <v>1</v>
      </c>
      <c r="E390" s="81">
        <f t="shared" si="12"/>
        <v>547.61710000000005</v>
      </c>
      <c r="H390" s="83">
        <v>72006</v>
      </c>
      <c r="I390" s="83">
        <v>2</v>
      </c>
      <c r="J390" s="83" t="str">
        <f t="shared" si="13"/>
        <v>720062</v>
      </c>
      <c r="K390" s="83">
        <v>547.61710000000005</v>
      </c>
    </row>
    <row r="391" spans="1:11" ht="15">
      <c r="A391" s="81">
        <v>72007</v>
      </c>
      <c r="B391" s="81">
        <v>2</v>
      </c>
      <c r="C391" s="81">
        <v>1.75</v>
      </c>
      <c r="D391" s="81">
        <v>1</v>
      </c>
      <c r="E391" s="81">
        <f t="shared" si="12"/>
        <v>547.61710000000005</v>
      </c>
      <c r="H391" s="83">
        <v>72007</v>
      </c>
      <c r="I391" s="83">
        <v>1</v>
      </c>
      <c r="J391" s="83" t="str">
        <f t="shared" si="13"/>
        <v>720071</v>
      </c>
      <c r="K391" s="83">
        <v>547.61710000000005</v>
      </c>
    </row>
    <row r="392" spans="1:11" ht="15">
      <c r="A392" s="81">
        <v>72008</v>
      </c>
      <c r="B392" s="81">
        <v>1</v>
      </c>
      <c r="C392" s="81">
        <v>2</v>
      </c>
      <c r="D392" s="81">
        <v>1</v>
      </c>
      <c r="E392" s="81">
        <f t="shared" si="12"/>
        <v>547.61710000000005</v>
      </c>
      <c r="H392" s="83">
        <v>72007</v>
      </c>
      <c r="I392" s="83">
        <v>2</v>
      </c>
      <c r="J392" s="83" t="str">
        <f t="shared" si="13"/>
        <v>720072</v>
      </c>
      <c r="K392" s="83">
        <v>547.61710000000005</v>
      </c>
    </row>
    <row r="393" spans="1:11" ht="15">
      <c r="A393" s="81">
        <v>72008</v>
      </c>
      <c r="B393" s="81">
        <v>2</v>
      </c>
      <c r="C393" s="81">
        <v>2</v>
      </c>
      <c r="D393" s="81">
        <v>1</v>
      </c>
      <c r="E393" s="81">
        <f t="shared" si="12"/>
        <v>547.61710000000005</v>
      </c>
      <c r="H393" s="83">
        <v>72008</v>
      </c>
      <c r="I393" s="83">
        <v>1</v>
      </c>
      <c r="J393" s="83" t="str">
        <f t="shared" si="13"/>
        <v>720081</v>
      </c>
      <c r="K393" s="83">
        <v>547.61710000000005</v>
      </c>
    </row>
    <row r="394" spans="1:11" ht="15">
      <c r="A394" s="81">
        <v>72009</v>
      </c>
      <c r="B394" s="81">
        <v>1</v>
      </c>
      <c r="C394" s="81">
        <v>1.8999999761581401</v>
      </c>
      <c r="D394" s="81">
        <v>1</v>
      </c>
      <c r="E394" s="81">
        <f t="shared" si="12"/>
        <v>547.61710000000005</v>
      </c>
      <c r="H394" s="83">
        <v>72008</v>
      </c>
      <c r="I394" s="83">
        <v>2</v>
      </c>
      <c r="J394" s="83" t="str">
        <f t="shared" si="13"/>
        <v>720082</v>
      </c>
      <c r="K394" s="83">
        <v>547.61710000000005</v>
      </c>
    </row>
    <row r="395" spans="1:11" ht="15">
      <c r="A395" s="81">
        <v>72009</v>
      </c>
      <c r="B395" s="81">
        <v>2</v>
      </c>
      <c r="C395" s="81">
        <v>2.0999999046325701</v>
      </c>
      <c r="D395" s="81">
        <v>1</v>
      </c>
      <c r="E395" s="81">
        <f t="shared" si="12"/>
        <v>547.61710000000005</v>
      </c>
      <c r="H395" s="83">
        <v>72009</v>
      </c>
      <c r="I395" s="83">
        <v>1</v>
      </c>
      <c r="J395" s="83" t="str">
        <f t="shared" si="13"/>
        <v>720091</v>
      </c>
      <c r="K395" s="83">
        <v>547.61710000000005</v>
      </c>
    </row>
    <row r="396" spans="1:11" ht="15">
      <c r="A396" s="81">
        <v>72010</v>
      </c>
      <c r="B396" s="81">
        <v>1</v>
      </c>
      <c r="C396" s="81">
        <v>2.4000000953674299</v>
      </c>
      <c r="D396" s="81">
        <v>1</v>
      </c>
      <c r="E396" s="81">
        <f t="shared" si="12"/>
        <v>547.61710000000005</v>
      </c>
      <c r="H396" s="83">
        <v>72009</v>
      </c>
      <c r="I396" s="83">
        <v>2</v>
      </c>
      <c r="J396" s="83" t="str">
        <f t="shared" si="13"/>
        <v>720092</v>
      </c>
      <c r="K396" s="83">
        <v>547.61710000000005</v>
      </c>
    </row>
    <row r="397" spans="1:11" ht="15">
      <c r="A397" s="81">
        <v>72010</v>
      </c>
      <c r="B397" s="81">
        <v>2</v>
      </c>
      <c r="C397" s="81">
        <v>2.2999999523162802</v>
      </c>
      <c r="D397" s="81">
        <v>1</v>
      </c>
      <c r="E397" s="81">
        <f t="shared" si="12"/>
        <v>547.61710000000005</v>
      </c>
      <c r="H397" s="83">
        <v>72010</v>
      </c>
      <c r="I397" s="83">
        <v>1</v>
      </c>
      <c r="J397" s="83" t="str">
        <f t="shared" si="13"/>
        <v>720101</v>
      </c>
      <c r="K397" s="83">
        <v>547.61710000000005</v>
      </c>
    </row>
    <row r="398" spans="1:11" ht="15">
      <c r="A398" s="81">
        <v>73001</v>
      </c>
      <c r="B398" s="81">
        <v>1</v>
      </c>
      <c r="C398" s="81">
        <v>2.5</v>
      </c>
      <c r="D398" s="81">
        <v>2</v>
      </c>
      <c r="E398" s="81">
        <f t="shared" si="12"/>
        <v>547.61710000000005</v>
      </c>
      <c r="H398" s="83">
        <v>72010</v>
      </c>
      <c r="I398" s="83">
        <v>2</v>
      </c>
      <c r="J398" s="83" t="str">
        <f t="shared" si="13"/>
        <v>720102</v>
      </c>
      <c r="K398" s="83">
        <v>547.61710000000005</v>
      </c>
    </row>
    <row r="399" spans="1:11" ht="15">
      <c r="A399" s="81">
        <v>73001</v>
      </c>
      <c r="B399" s="81">
        <v>2</v>
      </c>
      <c r="C399" s="81">
        <v>5</v>
      </c>
      <c r="D399" s="81">
        <v>2</v>
      </c>
      <c r="E399" s="81">
        <f t="shared" si="12"/>
        <v>547.61710000000005</v>
      </c>
      <c r="H399" s="83">
        <v>73001</v>
      </c>
      <c r="I399" s="83">
        <v>1</v>
      </c>
      <c r="J399" s="83" t="str">
        <f t="shared" si="13"/>
        <v>730011</v>
      </c>
      <c r="K399" s="83">
        <v>547.61710000000005</v>
      </c>
    </row>
    <row r="400" spans="1:11" ht="15">
      <c r="A400" s="81">
        <v>73002</v>
      </c>
      <c r="B400" s="81">
        <v>1</v>
      </c>
      <c r="C400" s="81">
        <v>2</v>
      </c>
      <c r="D400" s="81">
        <v>1</v>
      </c>
      <c r="E400" s="81">
        <f t="shared" si="12"/>
        <v>547.61710000000005</v>
      </c>
      <c r="H400" s="83">
        <v>73001</v>
      </c>
      <c r="I400" s="83">
        <v>2</v>
      </c>
      <c r="J400" s="83" t="str">
        <f t="shared" si="13"/>
        <v>730012</v>
      </c>
      <c r="K400" s="83">
        <v>547.61710000000005</v>
      </c>
    </row>
    <row r="401" spans="1:11" ht="15">
      <c r="A401" s="81">
        <v>73002</v>
      </c>
      <c r="B401" s="81">
        <v>2</v>
      </c>
      <c r="C401" s="81">
        <v>2</v>
      </c>
      <c r="D401" s="81">
        <v>1</v>
      </c>
      <c r="E401" s="81">
        <f t="shared" si="12"/>
        <v>547.61710000000005</v>
      </c>
      <c r="H401" s="83">
        <v>73002</v>
      </c>
      <c r="I401" s="83">
        <v>1</v>
      </c>
      <c r="J401" s="83" t="str">
        <f t="shared" si="13"/>
        <v>730021</v>
      </c>
      <c r="K401" s="83">
        <v>547.61710000000005</v>
      </c>
    </row>
    <row r="402" spans="1:11" ht="15">
      <c r="A402" s="81">
        <v>73003</v>
      </c>
      <c r="B402" s="81">
        <v>1</v>
      </c>
      <c r="C402" s="81">
        <v>2.5</v>
      </c>
      <c r="D402" s="81">
        <v>2</v>
      </c>
      <c r="E402" s="81">
        <f t="shared" si="12"/>
        <v>547.61710000000005</v>
      </c>
      <c r="H402" s="83">
        <v>73002</v>
      </c>
      <c r="I402" s="83">
        <v>2</v>
      </c>
      <c r="J402" s="83" t="str">
        <f t="shared" si="13"/>
        <v>730022</v>
      </c>
      <c r="K402" s="83">
        <v>547.61710000000005</v>
      </c>
    </row>
    <row r="403" spans="1:11" ht="15">
      <c r="A403" s="81">
        <v>73003</v>
      </c>
      <c r="B403" s="81">
        <v>2</v>
      </c>
      <c r="C403" s="81">
        <v>1.5</v>
      </c>
      <c r="D403" s="81">
        <v>1</v>
      </c>
      <c r="E403" s="81">
        <f t="shared" si="12"/>
        <v>547.61710000000005</v>
      </c>
      <c r="H403" s="83">
        <v>73003</v>
      </c>
      <c r="I403" s="83">
        <v>1</v>
      </c>
      <c r="J403" s="83" t="str">
        <f t="shared" si="13"/>
        <v>730031</v>
      </c>
      <c r="K403" s="83">
        <v>547.61710000000005</v>
      </c>
    </row>
    <row r="404" spans="1:11" ht="15">
      <c r="A404" s="81">
        <v>73004</v>
      </c>
      <c r="B404" s="81">
        <v>1</v>
      </c>
      <c r="C404" s="81">
        <v>1.75</v>
      </c>
      <c r="D404" s="81">
        <v>1</v>
      </c>
      <c r="E404" s="81">
        <f t="shared" si="12"/>
        <v>547.61710000000005</v>
      </c>
      <c r="H404" s="83">
        <v>73003</v>
      </c>
      <c r="I404" s="83">
        <v>2</v>
      </c>
      <c r="J404" s="83" t="str">
        <f t="shared" si="13"/>
        <v>730032</v>
      </c>
      <c r="K404" s="83">
        <v>547.61710000000005</v>
      </c>
    </row>
    <row r="405" spans="1:11" ht="15">
      <c r="A405" s="81">
        <v>73004</v>
      </c>
      <c r="B405" s="81">
        <v>2</v>
      </c>
      <c r="C405" s="81">
        <v>1.5</v>
      </c>
      <c r="D405" s="81">
        <v>1</v>
      </c>
      <c r="E405" s="81">
        <f t="shared" si="12"/>
        <v>547.61710000000005</v>
      </c>
      <c r="H405" s="83">
        <v>73004</v>
      </c>
      <c r="I405" s="83">
        <v>1</v>
      </c>
      <c r="J405" s="83" t="str">
        <f t="shared" si="13"/>
        <v>730041</v>
      </c>
      <c r="K405" s="83">
        <v>547.61710000000005</v>
      </c>
    </row>
    <row r="406" spans="1:11" ht="15">
      <c r="A406" s="81">
        <v>73005</v>
      </c>
      <c r="B406" s="81">
        <v>1</v>
      </c>
      <c r="C406" s="81">
        <v>2</v>
      </c>
      <c r="D406" s="81">
        <v>1</v>
      </c>
      <c r="E406" s="81">
        <f t="shared" si="12"/>
        <v>547.61710000000005</v>
      </c>
      <c r="H406" s="83">
        <v>73004</v>
      </c>
      <c r="I406" s="83">
        <v>2</v>
      </c>
      <c r="J406" s="83" t="str">
        <f t="shared" si="13"/>
        <v>730042</v>
      </c>
      <c r="K406" s="83">
        <v>547.61710000000005</v>
      </c>
    </row>
    <row r="407" spans="1:11" ht="15">
      <c r="A407" s="81">
        <v>73005</v>
      </c>
      <c r="B407" s="81">
        <v>2</v>
      </c>
      <c r="C407" s="81">
        <v>2</v>
      </c>
      <c r="D407" s="81">
        <v>1</v>
      </c>
      <c r="E407" s="81">
        <f t="shared" si="12"/>
        <v>547.61710000000005</v>
      </c>
      <c r="H407" s="83">
        <v>73005</v>
      </c>
      <c r="I407" s="83">
        <v>1</v>
      </c>
      <c r="J407" s="83" t="str">
        <f t="shared" si="13"/>
        <v>730051</v>
      </c>
      <c r="K407" s="83">
        <v>547.61710000000005</v>
      </c>
    </row>
    <row r="408" spans="1:11" ht="15">
      <c r="A408" s="81">
        <v>73006</v>
      </c>
      <c r="B408" s="81">
        <v>1</v>
      </c>
      <c r="C408" s="81">
        <v>3</v>
      </c>
      <c r="D408" s="81">
        <v>1</v>
      </c>
      <c r="E408" s="81">
        <f t="shared" si="12"/>
        <v>547.61710000000005</v>
      </c>
      <c r="H408" s="83">
        <v>73005</v>
      </c>
      <c r="I408" s="83">
        <v>2</v>
      </c>
      <c r="J408" s="83" t="str">
        <f t="shared" si="13"/>
        <v>730052</v>
      </c>
      <c r="K408" s="83">
        <v>547.61710000000005</v>
      </c>
    </row>
    <row r="409" spans="1:11" ht="15">
      <c r="A409" s="81">
        <v>73006</v>
      </c>
      <c r="B409" s="81">
        <v>2</v>
      </c>
      <c r="C409" s="81">
        <v>2.7999999523162802</v>
      </c>
      <c r="D409" s="81">
        <v>1</v>
      </c>
      <c r="E409" s="81">
        <f t="shared" si="12"/>
        <v>547.61710000000005</v>
      </c>
      <c r="H409" s="83">
        <v>73006</v>
      </c>
      <c r="I409" s="83">
        <v>1</v>
      </c>
      <c r="J409" s="83" t="str">
        <f t="shared" si="13"/>
        <v>730061</v>
      </c>
      <c r="K409" s="83">
        <v>547.61710000000005</v>
      </c>
    </row>
    <row r="410" spans="1:11" ht="15">
      <c r="A410" s="81">
        <v>73007</v>
      </c>
      <c r="B410" s="81">
        <v>1</v>
      </c>
      <c r="C410" s="81">
        <v>1.5</v>
      </c>
      <c r="D410" s="81">
        <v>1</v>
      </c>
      <c r="E410" s="81">
        <f t="shared" si="12"/>
        <v>547.61710000000005</v>
      </c>
      <c r="H410" s="83">
        <v>73006</v>
      </c>
      <c r="I410" s="83">
        <v>2</v>
      </c>
      <c r="J410" s="83" t="str">
        <f t="shared" si="13"/>
        <v>730062</v>
      </c>
      <c r="K410" s="83">
        <v>547.61710000000005</v>
      </c>
    </row>
    <row r="411" spans="1:11" ht="15">
      <c r="A411" s="81">
        <v>73007</v>
      </c>
      <c r="B411" s="81">
        <v>2</v>
      </c>
      <c r="C411" s="81">
        <v>1.5</v>
      </c>
      <c r="D411" s="81">
        <v>1</v>
      </c>
      <c r="E411" s="81">
        <f t="shared" si="12"/>
        <v>547.61710000000005</v>
      </c>
      <c r="H411" s="83">
        <v>73007</v>
      </c>
      <c r="I411" s="83">
        <v>1</v>
      </c>
      <c r="J411" s="83" t="str">
        <f t="shared" si="13"/>
        <v>730071</v>
      </c>
      <c r="K411" s="83">
        <v>547.61710000000005</v>
      </c>
    </row>
    <row r="412" spans="1:11" ht="15">
      <c r="A412" s="81">
        <v>73008</v>
      </c>
      <c r="B412" s="81">
        <v>1</v>
      </c>
      <c r="C412" s="81">
        <v>2</v>
      </c>
      <c r="D412" s="81">
        <v>1</v>
      </c>
      <c r="E412" s="81">
        <f t="shared" si="12"/>
        <v>547.61710000000005</v>
      </c>
      <c r="H412" s="83">
        <v>73007</v>
      </c>
      <c r="I412" s="83">
        <v>2</v>
      </c>
      <c r="J412" s="83" t="str">
        <f t="shared" si="13"/>
        <v>730072</v>
      </c>
      <c r="K412" s="83">
        <v>547.61710000000005</v>
      </c>
    </row>
    <row r="413" spans="1:11" ht="15">
      <c r="A413" s="81">
        <v>73008</v>
      </c>
      <c r="B413" s="81">
        <v>2</v>
      </c>
      <c r="C413" s="81">
        <v>2</v>
      </c>
      <c r="D413" s="81">
        <v>1</v>
      </c>
      <c r="E413" s="81">
        <f t="shared" si="12"/>
        <v>547.61710000000005</v>
      </c>
      <c r="H413" s="83">
        <v>73008</v>
      </c>
      <c r="I413" s="83">
        <v>1</v>
      </c>
      <c r="J413" s="83" t="str">
        <f t="shared" si="13"/>
        <v>730081</v>
      </c>
      <c r="K413" s="83">
        <v>547.61710000000005</v>
      </c>
    </row>
    <row r="414" spans="1:11" ht="15">
      <c r="A414" s="81">
        <v>73009</v>
      </c>
      <c r="B414" s="81">
        <v>1</v>
      </c>
      <c r="C414" s="81">
        <v>1.5</v>
      </c>
      <c r="D414" s="81">
        <v>1</v>
      </c>
      <c r="E414" s="81">
        <f t="shared" si="12"/>
        <v>547.61710000000005</v>
      </c>
      <c r="H414" s="83">
        <v>73008</v>
      </c>
      <c r="I414" s="83">
        <v>2</v>
      </c>
      <c r="J414" s="83" t="str">
        <f t="shared" si="13"/>
        <v>730082</v>
      </c>
      <c r="K414" s="83">
        <v>547.61710000000005</v>
      </c>
    </row>
    <row r="415" spans="1:11" ht="15">
      <c r="A415" s="81">
        <v>73009</v>
      </c>
      <c r="B415" s="81">
        <v>2</v>
      </c>
      <c r="C415" s="81">
        <v>2</v>
      </c>
      <c r="D415" s="81">
        <v>2</v>
      </c>
      <c r="E415" s="81">
        <f t="shared" si="12"/>
        <v>547.61710000000005</v>
      </c>
      <c r="H415" s="83">
        <v>73009</v>
      </c>
      <c r="I415" s="83">
        <v>1</v>
      </c>
      <c r="J415" s="83" t="str">
        <f t="shared" si="13"/>
        <v>730091</v>
      </c>
      <c r="K415" s="83">
        <v>547.61710000000005</v>
      </c>
    </row>
    <row r="416" spans="1:11" ht="15">
      <c r="A416" s="81">
        <v>73010</v>
      </c>
      <c r="B416" s="81">
        <v>1</v>
      </c>
      <c r="C416" s="81">
        <v>1.5</v>
      </c>
      <c r="D416" s="81">
        <v>1</v>
      </c>
      <c r="E416" s="81">
        <f t="shared" si="12"/>
        <v>547.61710000000005</v>
      </c>
      <c r="H416" s="83">
        <v>73009</v>
      </c>
      <c r="I416" s="83">
        <v>2</v>
      </c>
      <c r="J416" s="83" t="str">
        <f t="shared" si="13"/>
        <v>730092</v>
      </c>
      <c r="K416" s="83">
        <v>547.61710000000005</v>
      </c>
    </row>
    <row r="417" spans="1:11" ht="15">
      <c r="A417" s="81">
        <v>73010</v>
      </c>
      <c r="B417" s="81">
        <v>2</v>
      </c>
      <c r="C417" s="81">
        <v>1.79999995231628</v>
      </c>
      <c r="D417" s="81">
        <v>1</v>
      </c>
      <c r="E417" s="81">
        <f t="shared" si="12"/>
        <v>547.61710000000005</v>
      </c>
      <c r="H417" s="83">
        <v>73010</v>
      </c>
      <c r="I417" s="83">
        <v>1</v>
      </c>
      <c r="J417" s="83" t="str">
        <f t="shared" si="13"/>
        <v>730101</v>
      </c>
      <c r="K417" s="83">
        <v>547.61710000000005</v>
      </c>
    </row>
    <row r="418" spans="1:11" ht="15">
      <c r="A418" s="81">
        <v>74001</v>
      </c>
      <c r="B418" s="81">
        <v>1</v>
      </c>
      <c r="C418" s="81">
        <v>3.5</v>
      </c>
      <c r="D418" s="81">
        <v>1</v>
      </c>
      <c r="E418" s="81">
        <f t="shared" si="12"/>
        <v>547.61710000000005</v>
      </c>
      <c r="H418" s="83">
        <v>73010</v>
      </c>
      <c r="I418" s="83">
        <v>2</v>
      </c>
      <c r="J418" s="83" t="str">
        <f t="shared" si="13"/>
        <v>730102</v>
      </c>
      <c r="K418" s="83">
        <v>547.61710000000005</v>
      </c>
    </row>
    <row r="419" spans="1:11" ht="15">
      <c r="A419" s="81">
        <v>74001</v>
      </c>
      <c r="B419" s="81">
        <v>2</v>
      </c>
      <c r="C419" s="81">
        <v>1.5</v>
      </c>
      <c r="D419" s="81">
        <v>1</v>
      </c>
      <c r="E419" s="81">
        <f t="shared" si="12"/>
        <v>547.61710000000005</v>
      </c>
      <c r="H419" s="83">
        <v>74001</v>
      </c>
      <c r="I419" s="83">
        <v>1</v>
      </c>
      <c r="J419" s="83" t="str">
        <f t="shared" si="13"/>
        <v>740011</v>
      </c>
      <c r="K419" s="83">
        <v>547.61710000000005</v>
      </c>
    </row>
    <row r="420" spans="1:11" ht="15">
      <c r="A420" s="81">
        <v>74002</v>
      </c>
      <c r="B420" s="81">
        <v>1</v>
      </c>
      <c r="C420" s="81">
        <v>2</v>
      </c>
      <c r="D420" s="81">
        <v>2</v>
      </c>
      <c r="E420" s="81">
        <f t="shared" si="12"/>
        <v>547.61710000000005</v>
      </c>
      <c r="H420" s="83">
        <v>74001</v>
      </c>
      <c r="I420" s="83">
        <v>2</v>
      </c>
      <c r="J420" s="83" t="str">
        <f t="shared" si="13"/>
        <v>740012</v>
      </c>
      <c r="K420" s="83">
        <v>547.61710000000005</v>
      </c>
    </row>
    <row r="421" spans="1:11" ht="15">
      <c r="A421" s="81">
        <v>74002</v>
      </c>
      <c r="B421" s="81">
        <v>2</v>
      </c>
      <c r="C421" s="81">
        <v>3</v>
      </c>
      <c r="D421" s="81">
        <v>1</v>
      </c>
      <c r="E421" s="81">
        <f t="shared" si="12"/>
        <v>547.61710000000005</v>
      </c>
      <c r="H421" s="83">
        <v>74002</v>
      </c>
      <c r="I421" s="83">
        <v>1</v>
      </c>
      <c r="J421" s="83" t="str">
        <f t="shared" si="13"/>
        <v>740021</v>
      </c>
      <c r="K421" s="83">
        <v>547.61710000000005</v>
      </c>
    </row>
    <row r="422" spans="1:11" ht="15">
      <c r="A422" s="81">
        <v>74003</v>
      </c>
      <c r="B422" s="81">
        <v>1</v>
      </c>
      <c r="C422" s="81">
        <v>2</v>
      </c>
      <c r="D422" s="81">
        <v>2</v>
      </c>
      <c r="E422" s="81">
        <f t="shared" si="12"/>
        <v>547.61710000000005</v>
      </c>
      <c r="H422" s="83">
        <v>74002</v>
      </c>
      <c r="I422" s="83">
        <v>2</v>
      </c>
      <c r="J422" s="83" t="str">
        <f t="shared" si="13"/>
        <v>740022</v>
      </c>
      <c r="K422" s="83">
        <v>547.61710000000005</v>
      </c>
    </row>
    <row r="423" spans="1:11" ht="15">
      <c r="A423" s="81">
        <v>74003</v>
      </c>
      <c r="B423" s="81">
        <v>2</v>
      </c>
      <c r="C423" s="81">
        <v>1.8999999761581401</v>
      </c>
      <c r="D423" s="81">
        <v>2</v>
      </c>
      <c r="E423" s="81">
        <f t="shared" si="12"/>
        <v>547.61710000000005</v>
      </c>
      <c r="H423" s="83">
        <v>74003</v>
      </c>
      <c r="I423" s="83">
        <v>1</v>
      </c>
      <c r="J423" s="83" t="str">
        <f t="shared" si="13"/>
        <v>740031</v>
      </c>
      <c r="K423" s="83">
        <v>547.61710000000005</v>
      </c>
    </row>
    <row r="424" spans="1:11" ht="15">
      <c r="A424" s="81">
        <v>74004</v>
      </c>
      <c r="B424" s="81">
        <v>1</v>
      </c>
      <c r="C424" s="81">
        <v>2.2000000476837198</v>
      </c>
      <c r="D424" s="81">
        <v>1</v>
      </c>
      <c r="E424" s="81">
        <f t="shared" si="12"/>
        <v>547.61710000000005</v>
      </c>
      <c r="H424" s="83">
        <v>74003</v>
      </c>
      <c r="I424" s="83">
        <v>2</v>
      </c>
      <c r="J424" s="83" t="str">
        <f t="shared" si="13"/>
        <v>740032</v>
      </c>
      <c r="K424" s="83">
        <v>547.61710000000005</v>
      </c>
    </row>
    <row r="425" spans="1:11" ht="15">
      <c r="A425" s="81">
        <v>74004</v>
      </c>
      <c r="B425" s="81">
        <v>2</v>
      </c>
      <c r="C425" s="81">
        <v>1.8999999761581401</v>
      </c>
      <c r="D425" s="81">
        <v>1</v>
      </c>
      <c r="E425" s="81">
        <f t="shared" si="12"/>
        <v>547.61710000000005</v>
      </c>
      <c r="H425" s="83">
        <v>74004</v>
      </c>
      <c r="I425" s="83">
        <v>1</v>
      </c>
      <c r="J425" s="83" t="str">
        <f t="shared" si="13"/>
        <v>740041</v>
      </c>
      <c r="K425" s="83">
        <v>547.61710000000005</v>
      </c>
    </row>
    <row r="426" spans="1:11" ht="15">
      <c r="A426" s="81">
        <v>74005</v>
      </c>
      <c r="B426" s="81">
        <v>1</v>
      </c>
      <c r="C426" s="81">
        <v>2</v>
      </c>
      <c r="D426" s="81">
        <v>2</v>
      </c>
      <c r="E426" s="81">
        <f t="shared" si="12"/>
        <v>547.61710000000005</v>
      </c>
      <c r="H426" s="83">
        <v>74004</v>
      </c>
      <c r="I426" s="83">
        <v>2</v>
      </c>
      <c r="J426" s="83" t="str">
        <f t="shared" si="13"/>
        <v>740042</v>
      </c>
      <c r="K426" s="83">
        <v>547.61710000000005</v>
      </c>
    </row>
    <row r="427" spans="1:11" ht="15">
      <c r="A427" s="81">
        <v>74005</v>
      </c>
      <c r="B427" s="81">
        <v>2</v>
      </c>
      <c r="C427" s="81">
        <v>2</v>
      </c>
      <c r="D427" s="81">
        <v>1</v>
      </c>
      <c r="E427" s="81">
        <f t="shared" si="12"/>
        <v>547.61710000000005</v>
      </c>
      <c r="H427" s="83">
        <v>74005</v>
      </c>
      <c r="I427" s="83">
        <v>1</v>
      </c>
      <c r="J427" s="83" t="str">
        <f t="shared" si="13"/>
        <v>740051</v>
      </c>
      <c r="K427" s="83">
        <v>547.61710000000005</v>
      </c>
    </row>
    <row r="428" spans="1:11" ht="15">
      <c r="A428" s="81">
        <v>74006</v>
      </c>
      <c r="B428" s="81">
        <v>1</v>
      </c>
      <c r="C428" s="81">
        <v>2</v>
      </c>
      <c r="D428" s="81">
        <v>1</v>
      </c>
      <c r="E428" s="81">
        <f t="shared" si="12"/>
        <v>547.61710000000005</v>
      </c>
      <c r="H428" s="83">
        <v>74005</v>
      </c>
      <c r="I428" s="83">
        <v>2</v>
      </c>
      <c r="J428" s="83" t="str">
        <f t="shared" si="13"/>
        <v>740052</v>
      </c>
      <c r="K428" s="83">
        <v>547.61710000000005</v>
      </c>
    </row>
    <row r="429" spans="1:11" ht="15">
      <c r="A429" s="81">
        <v>74006</v>
      </c>
      <c r="B429" s="81">
        <v>2</v>
      </c>
      <c r="C429" s="81">
        <v>2</v>
      </c>
      <c r="D429" s="81">
        <v>1</v>
      </c>
      <c r="E429" s="81">
        <f t="shared" si="12"/>
        <v>547.61710000000005</v>
      </c>
      <c r="H429" s="83">
        <v>74006</v>
      </c>
      <c r="I429" s="83">
        <v>1</v>
      </c>
      <c r="J429" s="83" t="str">
        <f t="shared" si="13"/>
        <v>740061</v>
      </c>
      <c r="K429" s="83">
        <v>547.61710000000005</v>
      </c>
    </row>
    <row r="430" spans="1:11" ht="15">
      <c r="A430" s="81">
        <v>74007</v>
      </c>
      <c r="B430" s="81">
        <v>1</v>
      </c>
      <c r="C430" s="81">
        <v>1.5</v>
      </c>
      <c r="D430" s="81">
        <v>2</v>
      </c>
      <c r="E430" s="81">
        <f t="shared" si="12"/>
        <v>547.61710000000005</v>
      </c>
      <c r="H430" s="83">
        <v>74006</v>
      </c>
      <c r="I430" s="83">
        <v>2</v>
      </c>
      <c r="J430" s="83" t="str">
        <f t="shared" si="13"/>
        <v>740062</v>
      </c>
      <c r="K430" s="83">
        <v>547.61710000000005</v>
      </c>
    </row>
    <row r="431" spans="1:11" ht="15">
      <c r="A431" s="81">
        <v>74007</v>
      </c>
      <c r="B431" s="81">
        <v>2</v>
      </c>
      <c r="C431" s="81">
        <v>1.75</v>
      </c>
      <c r="D431" s="81">
        <v>2</v>
      </c>
      <c r="E431" s="81">
        <f t="shared" si="12"/>
        <v>547.61710000000005</v>
      </c>
      <c r="H431" s="83">
        <v>74007</v>
      </c>
      <c r="I431" s="83">
        <v>1</v>
      </c>
      <c r="J431" s="83" t="str">
        <f t="shared" si="13"/>
        <v>740071</v>
      </c>
      <c r="K431" s="83">
        <v>547.61710000000005</v>
      </c>
    </row>
    <row r="432" spans="1:11" ht="15">
      <c r="A432" s="81">
        <v>74008</v>
      </c>
      <c r="B432" s="81">
        <v>1</v>
      </c>
      <c r="C432" s="81">
        <v>1.75</v>
      </c>
      <c r="D432" s="81">
        <v>2</v>
      </c>
      <c r="E432" s="81">
        <f t="shared" si="12"/>
        <v>547.61710000000005</v>
      </c>
      <c r="H432" s="83">
        <v>74007</v>
      </c>
      <c r="I432" s="83">
        <v>2</v>
      </c>
      <c r="J432" s="83" t="str">
        <f t="shared" si="13"/>
        <v>740072</v>
      </c>
      <c r="K432" s="83">
        <v>547.61710000000005</v>
      </c>
    </row>
    <row r="433" spans="1:11" ht="15">
      <c r="A433" s="81">
        <v>74008</v>
      </c>
      <c r="B433" s="81">
        <v>2</v>
      </c>
      <c r="C433" s="81">
        <v>1.75</v>
      </c>
      <c r="D433" s="81">
        <v>2</v>
      </c>
      <c r="E433" s="81">
        <f t="shared" si="12"/>
        <v>547.61710000000005</v>
      </c>
      <c r="H433" s="83">
        <v>74008</v>
      </c>
      <c r="I433" s="83">
        <v>1</v>
      </c>
      <c r="J433" s="83" t="str">
        <f t="shared" si="13"/>
        <v>740081</v>
      </c>
      <c r="K433" s="83">
        <v>547.61710000000005</v>
      </c>
    </row>
    <row r="434" spans="1:11" ht="15">
      <c r="A434" s="81">
        <v>74009</v>
      </c>
      <c r="B434" s="81">
        <v>1</v>
      </c>
      <c r="C434" s="81">
        <v>2.5</v>
      </c>
      <c r="D434" s="81">
        <v>2</v>
      </c>
      <c r="E434" s="81">
        <f t="shared" si="12"/>
        <v>547.61710000000005</v>
      </c>
      <c r="H434" s="83">
        <v>74008</v>
      </c>
      <c r="I434" s="83">
        <v>2</v>
      </c>
      <c r="J434" s="83" t="str">
        <f t="shared" si="13"/>
        <v>740082</v>
      </c>
      <c r="K434" s="83">
        <v>547.61710000000005</v>
      </c>
    </row>
    <row r="435" spans="1:11" ht="15">
      <c r="A435" s="81">
        <v>74009</v>
      </c>
      <c r="B435" s="81">
        <v>2</v>
      </c>
      <c r="C435" s="81">
        <v>2.5</v>
      </c>
      <c r="D435" s="81">
        <v>2</v>
      </c>
      <c r="E435" s="81">
        <f t="shared" si="12"/>
        <v>547.61710000000005</v>
      </c>
      <c r="H435" s="83">
        <v>74009</v>
      </c>
      <c r="I435" s="83">
        <v>1</v>
      </c>
      <c r="J435" s="83" t="str">
        <f t="shared" si="13"/>
        <v>740091</v>
      </c>
      <c r="K435" s="83">
        <v>547.61710000000005</v>
      </c>
    </row>
    <row r="436" spans="1:11" ht="15">
      <c r="A436" s="81">
        <v>74010</v>
      </c>
      <c r="B436" s="81">
        <v>1</v>
      </c>
      <c r="C436" s="81">
        <v>2</v>
      </c>
      <c r="D436" s="81">
        <v>1</v>
      </c>
      <c r="E436" s="81">
        <f t="shared" si="12"/>
        <v>547.61710000000005</v>
      </c>
      <c r="H436" s="83">
        <v>74009</v>
      </c>
      <c r="I436" s="83">
        <v>2</v>
      </c>
      <c r="J436" s="83" t="str">
        <f t="shared" si="13"/>
        <v>740092</v>
      </c>
      <c r="K436" s="83">
        <v>547.61710000000005</v>
      </c>
    </row>
    <row r="437" spans="1:11" ht="15">
      <c r="A437" s="81">
        <v>74010</v>
      </c>
      <c r="B437" s="81">
        <v>2</v>
      </c>
      <c r="C437" s="81">
        <v>2.5</v>
      </c>
      <c r="D437" s="81">
        <v>1</v>
      </c>
      <c r="E437" s="81">
        <f t="shared" si="12"/>
        <v>547.61710000000005</v>
      </c>
      <c r="H437" s="83">
        <v>74010</v>
      </c>
      <c r="I437" s="83">
        <v>1</v>
      </c>
      <c r="J437" s="83" t="str">
        <f t="shared" si="13"/>
        <v>740101</v>
      </c>
      <c r="K437" s="83">
        <v>547.61710000000005</v>
      </c>
    </row>
    <row r="438" spans="1:11" ht="15">
      <c r="A438" s="81">
        <v>74011</v>
      </c>
      <c r="B438" s="81">
        <v>1</v>
      </c>
      <c r="C438" s="81">
        <v>2.7999999523162802</v>
      </c>
      <c r="D438" s="81">
        <v>1</v>
      </c>
      <c r="E438" s="81">
        <f t="shared" si="12"/>
        <v>547.61710000000005</v>
      </c>
      <c r="H438" s="83">
        <v>74010</v>
      </c>
      <c r="I438" s="83">
        <v>2</v>
      </c>
      <c r="J438" s="83" t="str">
        <f t="shared" si="13"/>
        <v>740102</v>
      </c>
      <c r="K438" s="83">
        <v>547.61710000000005</v>
      </c>
    </row>
    <row r="439" spans="1:11" ht="15">
      <c r="A439" s="81">
        <v>74011</v>
      </c>
      <c r="B439" s="81">
        <v>2</v>
      </c>
      <c r="C439" s="81">
        <v>1.8999999761581401</v>
      </c>
      <c r="D439" s="81">
        <v>1</v>
      </c>
      <c r="E439" s="81">
        <f t="shared" si="12"/>
        <v>547.61710000000005</v>
      </c>
      <c r="H439" s="83">
        <v>74011</v>
      </c>
      <c r="I439" s="83">
        <v>1</v>
      </c>
      <c r="J439" s="83" t="str">
        <f t="shared" si="13"/>
        <v>740111</v>
      </c>
      <c r="K439" s="83">
        <v>547.61710000000005</v>
      </c>
    </row>
    <row r="440" spans="1:11" ht="15">
      <c r="A440" s="81">
        <v>74012</v>
      </c>
      <c r="B440" s="81">
        <v>1</v>
      </c>
      <c r="C440" s="81">
        <v>2</v>
      </c>
      <c r="D440" s="81">
        <v>1</v>
      </c>
      <c r="E440" s="81">
        <f t="shared" si="12"/>
        <v>547.61710000000005</v>
      </c>
      <c r="H440" s="83">
        <v>74011</v>
      </c>
      <c r="I440" s="83">
        <v>2</v>
      </c>
      <c r="J440" s="83" t="str">
        <f t="shared" si="13"/>
        <v>740112</v>
      </c>
      <c r="K440" s="83">
        <v>547.61710000000005</v>
      </c>
    </row>
    <row r="441" spans="1:11" ht="15">
      <c r="A441" s="81">
        <v>74012</v>
      </c>
      <c r="B441" s="81">
        <v>2</v>
      </c>
      <c r="C441" s="81">
        <v>2</v>
      </c>
      <c r="D441" s="81">
        <v>1</v>
      </c>
      <c r="E441" s="81">
        <f t="shared" si="12"/>
        <v>547.61710000000005</v>
      </c>
      <c r="H441" s="83">
        <v>74012</v>
      </c>
      <c r="I441" s="83">
        <v>1</v>
      </c>
      <c r="J441" s="83" t="str">
        <f t="shared" si="13"/>
        <v>740121</v>
      </c>
      <c r="K441" s="83">
        <v>547.61710000000005</v>
      </c>
    </row>
    <row r="442" spans="1:11" ht="15">
      <c r="A442" s="81">
        <v>74013</v>
      </c>
      <c r="B442" s="81">
        <v>1</v>
      </c>
      <c r="C442" s="81">
        <v>1.5</v>
      </c>
      <c r="D442" s="81">
        <v>1</v>
      </c>
      <c r="E442" s="81">
        <f t="shared" si="12"/>
        <v>547.61710000000005</v>
      </c>
      <c r="H442" s="83">
        <v>74012</v>
      </c>
      <c r="I442" s="83">
        <v>2</v>
      </c>
      <c r="J442" s="83" t="str">
        <f t="shared" si="13"/>
        <v>740122</v>
      </c>
      <c r="K442" s="83">
        <v>547.61710000000005</v>
      </c>
    </row>
    <row r="443" spans="1:11" ht="15">
      <c r="A443" s="81">
        <v>74013</v>
      </c>
      <c r="B443" s="81">
        <v>2</v>
      </c>
      <c r="C443" s="81">
        <v>1.5</v>
      </c>
      <c r="D443" s="81">
        <v>2</v>
      </c>
      <c r="E443" s="81">
        <f t="shared" si="12"/>
        <v>547.61710000000005</v>
      </c>
      <c r="H443" s="83">
        <v>74013</v>
      </c>
      <c r="I443" s="83">
        <v>1</v>
      </c>
      <c r="J443" s="83" t="str">
        <f t="shared" si="13"/>
        <v>740131</v>
      </c>
      <c r="K443" s="83">
        <v>547.61710000000005</v>
      </c>
    </row>
    <row r="444" spans="1:11" ht="15">
      <c r="A444" s="81">
        <v>74014</v>
      </c>
      <c r="B444" s="81">
        <v>1</v>
      </c>
      <c r="C444" s="81">
        <v>1.8999999761581401</v>
      </c>
      <c r="D444" s="81">
        <v>1</v>
      </c>
      <c r="E444" s="81">
        <f t="shared" si="12"/>
        <v>547.61710000000005</v>
      </c>
      <c r="H444" s="83">
        <v>74013</v>
      </c>
      <c r="I444" s="83">
        <v>2</v>
      </c>
      <c r="J444" s="83" t="str">
        <f t="shared" si="13"/>
        <v>740132</v>
      </c>
      <c r="K444" s="83">
        <v>547.61710000000005</v>
      </c>
    </row>
    <row r="445" spans="1:11" ht="15">
      <c r="A445" s="81">
        <v>74014</v>
      </c>
      <c r="B445" s="81">
        <v>2</v>
      </c>
      <c r="C445" s="81">
        <v>1.8999999761581401</v>
      </c>
      <c r="D445" s="81">
        <v>1</v>
      </c>
      <c r="E445" s="81">
        <f t="shared" si="12"/>
        <v>547.61710000000005</v>
      </c>
      <c r="H445" s="83">
        <v>74014</v>
      </c>
      <c r="I445" s="83">
        <v>1</v>
      </c>
      <c r="J445" s="83" t="str">
        <f t="shared" si="13"/>
        <v>740141</v>
      </c>
      <c r="K445" s="83">
        <v>547.61710000000005</v>
      </c>
    </row>
    <row r="446" spans="1:11" ht="15">
      <c r="A446" s="81">
        <v>74015</v>
      </c>
      <c r="B446" s="81">
        <v>1</v>
      </c>
      <c r="C446" s="81">
        <v>2</v>
      </c>
      <c r="D446" s="81">
        <v>1</v>
      </c>
      <c r="E446" s="81">
        <f t="shared" si="12"/>
        <v>547.61710000000005</v>
      </c>
      <c r="H446" s="83">
        <v>74014</v>
      </c>
      <c r="I446" s="83">
        <v>2</v>
      </c>
      <c r="J446" s="83" t="str">
        <f t="shared" si="13"/>
        <v>740142</v>
      </c>
      <c r="K446" s="83">
        <v>547.61710000000005</v>
      </c>
    </row>
    <row r="447" spans="1:11" ht="15">
      <c r="A447" s="81">
        <v>74015</v>
      </c>
      <c r="B447" s="81">
        <v>2</v>
      </c>
      <c r="C447" s="81">
        <v>3</v>
      </c>
      <c r="D447" s="81">
        <v>1</v>
      </c>
      <c r="E447" s="81">
        <f t="shared" si="12"/>
        <v>547.61710000000005</v>
      </c>
      <c r="H447" s="83">
        <v>74015</v>
      </c>
      <c r="I447" s="83">
        <v>1</v>
      </c>
      <c r="J447" s="83" t="str">
        <f t="shared" si="13"/>
        <v>740151</v>
      </c>
      <c r="K447" s="83">
        <v>547.61710000000005</v>
      </c>
    </row>
    <row r="448" spans="1:11" ht="15">
      <c r="A448" s="81">
        <v>75001</v>
      </c>
      <c r="B448" s="81">
        <v>1</v>
      </c>
      <c r="C448" s="81">
        <v>2.7999999523162802</v>
      </c>
      <c r="D448" s="81">
        <v>1</v>
      </c>
      <c r="E448" s="81">
        <f t="shared" si="12"/>
        <v>365.07810000000001</v>
      </c>
      <c r="H448" s="83">
        <v>74015</v>
      </c>
      <c r="I448" s="83">
        <v>2</v>
      </c>
      <c r="J448" s="83" t="str">
        <f t="shared" si="13"/>
        <v>740152</v>
      </c>
      <c r="K448" s="83">
        <v>547.61710000000005</v>
      </c>
    </row>
    <row r="449" spans="1:11" ht="15">
      <c r="A449" s="81">
        <v>75001</v>
      </c>
      <c r="B449" s="81">
        <v>2</v>
      </c>
      <c r="C449" s="81">
        <v>2</v>
      </c>
      <c r="D449" s="81">
        <v>1</v>
      </c>
      <c r="E449" s="81">
        <f t="shared" si="12"/>
        <v>365.07810000000001</v>
      </c>
      <c r="H449" s="83">
        <v>75001</v>
      </c>
      <c r="I449" s="83">
        <v>1</v>
      </c>
      <c r="J449" s="83" t="str">
        <f t="shared" si="13"/>
        <v>750011</v>
      </c>
      <c r="K449" s="83">
        <v>365.07810000000001</v>
      </c>
    </row>
    <row r="450" spans="1:11" ht="15">
      <c r="A450" s="81">
        <v>75001</v>
      </c>
      <c r="B450" s="81">
        <v>3</v>
      </c>
      <c r="C450" s="81">
        <v>2.9000000953674299</v>
      </c>
      <c r="D450" s="81">
        <v>1</v>
      </c>
      <c r="E450" s="81">
        <f t="shared" si="12"/>
        <v>365.07810000000001</v>
      </c>
      <c r="H450" s="83">
        <v>75001</v>
      </c>
      <c r="I450" s="83">
        <v>2</v>
      </c>
      <c r="J450" s="83" t="str">
        <f t="shared" si="13"/>
        <v>750012</v>
      </c>
      <c r="K450" s="83">
        <v>365.07810000000001</v>
      </c>
    </row>
    <row r="451" spans="1:11" ht="15">
      <c r="A451" s="81">
        <v>75002</v>
      </c>
      <c r="B451" s="81">
        <v>1</v>
      </c>
      <c r="C451" s="81">
        <v>3.5</v>
      </c>
      <c r="D451" s="81">
        <v>2</v>
      </c>
      <c r="E451" s="81">
        <f t="shared" ref="E451:E514" si="14">VLOOKUP(A451&amp;B451,$J$2:$K$553,2,FALSE)</f>
        <v>547.61710000000005</v>
      </c>
      <c r="H451" s="83">
        <v>75001</v>
      </c>
      <c r="I451" s="83">
        <v>3</v>
      </c>
      <c r="J451" s="83" t="str">
        <f t="shared" ref="J451:J514" si="15">H451&amp;I451</f>
        <v>750013</v>
      </c>
      <c r="K451" s="83">
        <v>365.07810000000001</v>
      </c>
    </row>
    <row r="452" spans="1:11" ht="15">
      <c r="A452" s="81">
        <v>75002</v>
      </c>
      <c r="B452" s="81">
        <v>2</v>
      </c>
      <c r="C452" s="81">
        <v>3</v>
      </c>
      <c r="D452" s="81">
        <v>2</v>
      </c>
      <c r="E452" s="81">
        <f t="shared" si="14"/>
        <v>547.61710000000005</v>
      </c>
      <c r="H452" s="83">
        <v>75002</v>
      </c>
      <c r="I452" s="83">
        <v>1</v>
      </c>
      <c r="J452" s="83" t="str">
        <f t="shared" si="15"/>
        <v>750021</v>
      </c>
      <c r="K452" s="83">
        <v>547.61710000000005</v>
      </c>
    </row>
    <row r="453" spans="1:11" ht="15">
      <c r="A453" s="81">
        <v>75003</v>
      </c>
      <c r="B453" s="81">
        <v>1</v>
      </c>
      <c r="C453" s="81">
        <v>3.7999999523162802</v>
      </c>
      <c r="D453" s="81">
        <v>1</v>
      </c>
      <c r="E453" s="81">
        <f t="shared" si="14"/>
        <v>547.61710000000005</v>
      </c>
      <c r="H453" s="83">
        <v>75002</v>
      </c>
      <c r="I453" s="83">
        <v>2</v>
      </c>
      <c r="J453" s="83" t="str">
        <f t="shared" si="15"/>
        <v>750022</v>
      </c>
      <c r="K453" s="83">
        <v>547.61710000000005</v>
      </c>
    </row>
    <row r="454" spans="1:11" ht="15">
      <c r="A454" s="81">
        <v>75003</v>
      </c>
      <c r="B454" s="81">
        <v>2</v>
      </c>
      <c r="C454" s="81">
        <v>4</v>
      </c>
      <c r="D454" s="81">
        <v>1</v>
      </c>
      <c r="E454" s="81">
        <f t="shared" si="14"/>
        <v>547.61710000000005</v>
      </c>
      <c r="H454" s="83">
        <v>75003</v>
      </c>
      <c r="I454" s="83">
        <v>1</v>
      </c>
      <c r="J454" s="83" t="str">
        <f t="shared" si="15"/>
        <v>750031</v>
      </c>
      <c r="K454" s="83">
        <v>547.61710000000005</v>
      </c>
    </row>
    <row r="455" spans="1:11" ht="15">
      <c r="A455" s="81">
        <v>75004</v>
      </c>
      <c r="B455" s="81">
        <v>1</v>
      </c>
      <c r="C455" s="81">
        <v>1.75</v>
      </c>
      <c r="D455" s="81">
        <v>1</v>
      </c>
      <c r="E455" s="81">
        <f t="shared" si="14"/>
        <v>547.61710000000005</v>
      </c>
      <c r="H455" s="83">
        <v>75003</v>
      </c>
      <c r="I455" s="83">
        <v>2</v>
      </c>
      <c r="J455" s="83" t="str">
        <f t="shared" si="15"/>
        <v>750032</v>
      </c>
      <c r="K455" s="83">
        <v>547.61710000000005</v>
      </c>
    </row>
    <row r="456" spans="1:11" ht="15">
      <c r="A456" s="81">
        <v>75004</v>
      </c>
      <c r="B456" s="81">
        <v>2</v>
      </c>
      <c r="C456" s="81">
        <v>1</v>
      </c>
      <c r="D456" s="81">
        <v>1</v>
      </c>
      <c r="E456" s="81">
        <f t="shared" si="14"/>
        <v>547.61710000000005</v>
      </c>
      <c r="H456" s="83">
        <v>75004</v>
      </c>
      <c r="I456" s="83">
        <v>1</v>
      </c>
      <c r="J456" s="83" t="str">
        <f t="shared" si="15"/>
        <v>750041</v>
      </c>
      <c r="K456" s="83">
        <v>547.61710000000005</v>
      </c>
    </row>
    <row r="457" spans="1:11" ht="15">
      <c r="A457" s="81">
        <v>75005</v>
      </c>
      <c r="B457" s="81">
        <v>1</v>
      </c>
      <c r="C457" s="81">
        <v>1.6000000238418599</v>
      </c>
      <c r="D457" s="81">
        <v>1</v>
      </c>
      <c r="E457" s="81">
        <f t="shared" si="14"/>
        <v>547.61710000000005</v>
      </c>
      <c r="H457" s="83">
        <v>75004</v>
      </c>
      <c r="I457" s="83">
        <v>2</v>
      </c>
      <c r="J457" s="83" t="str">
        <f t="shared" si="15"/>
        <v>750042</v>
      </c>
      <c r="K457" s="83">
        <v>547.61710000000005</v>
      </c>
    </row>
    <row r="458" spans="1:11" ht="15">
      <c r="A458" s="81">
        <v>75005</v>
      </c>
      <c r="B458" s="81">
        <v>2</v>
      </c>
      <c r="C458" s="81">
        <v>1.5</v>
      </c>
      <c r="D458" s="81">
        <v>1</v>
      </c>
      <c r="E458" s="81">
        <f t="shared" si="14"/>
        <v>547.61710000000005</v>
      </c>
      <c r="H458" s="83">
        <v>75005</v>
      </c>
      <c r="I458" s="83">
        <v>1</v>
      </c>
      <c r="J458" s="83" t="str">
        <f t="shared" si="15"/>
        <v>750051</v>
      </c>
      <c r="K458" s="83">
        <v>547.61710000000005</v>
      </c>
    </row>
    <row r="459" spans="1:11" ht="15">
      <c r="A459" s="81">
        <v>75006</v>
      </c>
      <c r="B459" s="81">
        <v>1</v>
      </c>
      <c r="C459" s="81">
        <v>1.75</v>
      </c>
      <c r="D459" s="81">
        <v>1</v>
      </c>
      <c r="E459" s="81">
        <f t="shared" si="14"/>
        <v>547.61710000000005</v>
      </c>
      <c r="H459" s="83">
        <v>75005</v>
      </c>
      <c r="I459" s="83">
        <v>2</v>
      </c>
      <c r="J459" s="83" t="str">
        <f t="shared" si="15"/>
        <v>750052</v>
      </c>
      <c r="K459" s="83">
        <v>547.61710000000005</v>
      </c>
    </row>
    <row r="460" spans="1:11" ht="15">
      <c r="A460" s="81">
        <v>75006</v>
      </c>
      <c r="B460" s="81">
        <v>2</v>
      </c>
      <c r="C460" s="81">
        <v>1.5</v>
      </c>
      <c r="D460" s="81">
        <v>1</v>
      </c>
      <c r="E460" s="81">
        <f t="shared" si="14"/>
        <v>547.61710000000005</v>
      </c>
      <c r="H460" s="83">
        <v>75006</v>
      </c>
      <c r="I460" s="83">
        <v>1</v>
      </c>
      <c r="J460" s="83" t="str">
        <f t="shared" si="15"/>
        <v>750061</v>
      </c>
      <c r="K460" s="83">
        <v>547.61710000000005</v>
      </c>
    </row>
    <row r="461" spans="1:11" ht="15">
      <c r="A461" s="81">
        <v>75007</v>
      </c>
      <c r="B461" s="81">
        <v>1</v>
      </c>
      <c r="C461" s="81">
        <v>1</v>
      </c>
      <c r="D461" s="81">
        <v>1</v>
      </c>
      <c r="E461" s="81">
        <f t="shared" si="14"/>
        <v>547.61710000000005</v>
      </c>
      <c r="H461" s="83">
        <v>75006</v>
      </c>
      <c r="I461" s="83">
        <v>2</v>
      </c>
      <c r="J461" s="83" t="str">
        <f t="shared" si="15"/>
        <v>750062</v>
      </c>
      <c r="K461" s="83">
        <v>547.61710000000005</v>
      </c>
    </row>
    <row r="462" spans="1:11" ht="15">
      <c r="A462" s="81">
        <v>75007</v>
      </c>
      <c r="B462" s="81">
        <v>2</v>
      </c>
      <c r="C462" s="81">
        <v>1.5</v>
      </c>
      <c r="D462" s="81">
        <v>1</v>
      </c>
      <c r="E462" s="81">
        <f t="shared" si="14"/>
        <v>547.61710000000005</v>
      </c>
      <c r="H462" s="83">
        <v>75007</v>
      </c>
      <c r="I462" s="83">
        <v>1</v>
      </c>
      <c r="J462" s="83" t="str">
        <f t="shared" si="15"/>
        <v>750071</v>
      </c>
      <c r="K462" s="83">
        <v>547.61710000000005</v>
      </c>
    </row>
    <row r="463" spans="1:11" ht="15">
      <c r="A463" s="81">
        <v>75008</v>
      </c>
      <c r="B463" s="81">
        <v>1</v>
      </c>
      <c r="C463" s="81">
        <v>2.2999999523162802</v>
      </c>
      <c r="D463" s="81">
        <v>2</v>
      </c>
      <c r="E463" s="81">
        <f t="shared" si="14"/>
        <v>547.61710000000005</v>
      </c>
      <c r="H463" s="83">
        <v>75007</v>
      </c>
      <c r="I463" s="83">
        <v>2</v>
      </c>
      <c r="J463" s="83" t="str">
        <f t="shared" si="15"/>
        <v>750072</v>
      </c>
      <c r="K463" s="83">
        <v>547.61710000000005</v>
      </c>
    </row>
    <row r="464" spans="1:11" ht="15">
      <c r="A464" s="81">
        <v>75008</v>
      </c>
      <c r="B464" s="81">
        <v>2</v>
      </c>
      <c r="C464" s="81">
        <v>5</v>
      </c>
      <c r="D464" s="81">
        <v>1</v>
      </c>
      <c r="E464" s="81">
        <f t="shared" si="14"/>
        <v>547.61710000000005</v>
      </c>
      <c r="H464" s="83">
        <v>75008</v>
      </c>
      <c r="I464" s="83">
        <v>1</v>
      </c>
      <c r="J464" s="83" t="str">
        <f t="shared" si="15"/>
        <v>750081</v>
      </c>
      <c r="K464" s="83">
        <v>547.61710000000005</v>
      </c>
    </row>
    <row r="465" spans="1:11" ht="15">
      <c r="A465" s="81">
        <v>75009</v>
      </c>
      <c r="B465" s="81">
        <v>1</v>
      </c>
      <c r="C465" s="81">
        <v>3.0999999046325701</v>
      </c>
      <c r="D465" s="81">
        <v>1</v>
      </c>
      <c r="E465" s="81">
        <f t="shared" si="14"/>
        <v>547.61710000000005</v>
      </c>
      <c r="H465" s="83">
        <v>75008</v>
      </c>
      <c r="I465" s="83">
        <v>2</v>
      </c>
      <c r="J465" s="83" t="str">
        <f t="shared" si="15"/>
        <v>750082</v>
      </c>
      <c r="K465" s="83">
        <v>547.61710000000005</v>
      </c>
    </row>
    <row r="466" spans="1:11" ht="15">
      <c r="A466" s="81">
        <v>75009</v>
      </c>
      <c r="B466" s="81">
        <v>2</v>
      </c>
      <c r="C466" s="81">
        <v>2</v>
      </c>
      <c r="D466" s="81">
        <v>1</v>
      </c>
      <c r="E466" s="81">
        <f t="shared" si="14"/>
        <v>547.61710000000005</v>
      </c>
      <c r="H466" s="83">
        <v>75009</v>
      </c>
      <c r="I466" s="83">
        <v>1</v>
      </c>
      <c r="J466" s="83" t="str">
        <f t="shared" si="15"/>
        <v>750091</v>
      </c>
      <c r="K466" s="83">
        <v>547.61710000000005</v>
      </c>
    </row>
    <row r="467" spans="1:11" ht="15">
      <c r="A467" s="81">
        <v>75010</v>
      </c>
      <c r="B467" s="81">
        <v>1</v>
      </c>
      <c r="C467" s="81">
        <v>2</v>
      </c>
      <c r="D467" s="81">
        <v>1</v>
      </c>
      <c r="E467" s="81">
        <f t="shared" si="14"/>
        <v>547.61710000000005</v>
      </c>
      <c r="H467" s="83">
        <v>75009</v>
      </c>
      <c r="I467" s="83">
        <v>2</v>
      </c>
      <c r="J467" s="83" t="str">
        <f t="shared" si="15"/>
        <v>750092</v>
      </c>
      <c r="K467" s="83">
        <v>547.61710000000005</v>
      </c>
    </row>
    <row r="468" spans="1:11" ht="15">
      <c r="A468" s="81">
        <v>75010</v>
      </c>
      <c r="B468" s="81">
        <v>2</v>
      </c>
      <c r="C468" s="81">
        <v>2</v>
      </c>
      <c r="D468" s="81">
        <v>1</v>
      </c>
      <c r="E468" s="81">
        <f t="shared" si="14"/>
        <v>547.61710000000005</v>
      </c>
      <c r="H468" s="83">
        <v>75010</v>
      </c>
      <c r="I468" s="83">
        <v>1</v>
      </c>
      <c r="J468" s="83" t="str">
        <f t="shared" si="15"/>
        <v>750101</v>
      </c>
      <c r="K468" s="83">
        <v>547.61710000000005</v>
      </c>
    </row>
    <row r="469" spans="1:11" ht="15">
      <c r="A469" s="81">
        <v>75011</v>
      </c>
      <c r="B469" s="81">
        <v>1</v>
      </c>
      <c r="C469" s="81">
        <v>1.8999999761581401</v>
      </c>
      <c r="D469" s="81">
        <v>1</v>
      </c>
      <c r="E469" s="81">
        <f t="shared" si="14"/>
        <v>547.61710000000005</v>
      </c>
      <c r="H469" s="83">
        <v>75010</v>
      </c>
      <c r="I469" s="83">
        <v>2</v>
      </c>
      <c r="J469" s="83" t="str">
        <f t="shared" si="15"/>
        <v>750102</v>
      </c>
      <c r="K469" s="83">
        <v>547.61710000000005</v>
      </c>
    </row>
    <row r="470" spans="1:11" ht="15">
      <c r="A470" s="81">
        <v>75011</v>
      </c>
      <c r="B470" s="81">
        <v>2</v>
      </c>
      <c r="C470" s="81">
        <v>1.8999999761581401</v>
      </c>
      <c r="D470" s="81">
        <v>2</v>
      </c>
      <c r="E470" s="81">
        <f t="shared" si="14"/>
        <v>547.61710000000005</v>
      </c>
      <c r="H470" s="83">
        <v>75011</v>
      </c>
      <c r="I470" s="83">
        <v>1</v>
      </c>
      <c r="J470" s="83" t="str">
        <f t="shared" si="15"/>
        <v>750111</v>
      </c>
      <c r="K470" s="83">
        <v>547.61710000000005</v>
      </c>
    </row>
    <row r="471" spans="1:11" ht="15">
      <c r="A471" s="81">
        <v>75013</v>
      </c>
      <c r="B471" s="81">
        <v>1</v>
      </c>
      <c r="C471" s="81">
        <v>1.75</v>
      </c>
      <c r="D471" s="81">
        <v>1</v>
      </c>
      <c r="E471" s="81">
        <f t="shared" si="14"/>
        <v>547.61710000000005</v>
      </c>
      <c r="H471" s="83">
        <v>75011</v>
      </c>
      <c r="I471" s="83">
        <v>2</v>
      </c>
      <c r="J471" s="83" t="str">
        <f t="shared" si="15"/>
        <v>750112</v>
      </c>
      <c r="K471" s="83">
        <v>547.61710000000005</v>
      </c>
    </row>
    <row r="472" spans="1:11" ht="15">
      <c r="A472" s="81">
        <v>75013</v>
      </c>
      <c r="B472" s="81">
        <v>2</v>
      </c>
      <c r="C472" s="81">
        <v>2</v>
      </c>
      <c r="D472" s="81">
        <v>1</v>
      </c>
      <c r="E472" s="81">
        <f t="shared" si="14"/>
        <v>547.61710000000005</v>
      </c>
      <c r="H472" s="83">
        <v>75012</v>
      </c>
      <c r="I472" s="83">
        <v>1</v>
      </c>
      <c r="J472" s="83" t="str">
        <f t="shared" si="15"/>
        <v>750121</v>
      </c>
      <c r="K472" s="83">
        <v>547.61710000000005</v>
      </c>
    </row>
    <row r="473" spans="1:11" ht="15">
      <c r="A473" s="81">
        <v>76001</v>
      </c>
      <c r="B473" s="81">
        <v>1</v>
      </c>
      <c r="C473" s="81">
        <v>2.2000000476837198</v>
      </c>
      <c r="D473" s="81">
        <v>1</v>
      </c>
      <c r="E473" s="81">
        <f t="shared" si="14"/>
        <v>547.61710000000005</v>
      </c>
      <c r="H473" s="83">
        <v>75012</v>
      </c>
      <c r="I473" s="83">
        <v>2</v>
      </c>
      <c r="J473" s="83" t="str">
        <f t="shared" si="15"/>
        <v>750122</v>
      </c>
      <c r="K473" s="83">
        <v>547.61710000000005</v>
      </c>
    </row>
    <row r="474" spans="1:11" ht="15">
      <c r="A474" s="81">
        <v>76001</v>
      </c>
      <c r="B474" s="81">
        <v>2</v>
      </c>
      <c r="C474" s="81">
        <v>5</v>
      </c>
      <c r="D474" s="81">
        <v>2</v>
      </c>
      <c r="E474" s="81">
        <f t="shared" si="14"/>
        <v>547.61710000000005</v>
      </c>
      <c r="H474" s="83">
        <v>75013</v>
      </c>
      <c r="I474" s="83">
        <v>1</v>
      </c>
      <c r="J474" s="83" t="str">
        <f t="shared" si="15"/>
        <v>750131</v>
      </c>
      <c r="K474" s="83">
        <v>547.61710000000005</v>
      </c>
    </row>
    <row r="475" spans="1:11" ht="15">
      <c r="A475" s="81">
        <v>76002</v>
      </c>
      <c r="B475" s="81">
        <v>1</v>
      </c>
      <c r="C475" s="81">
        <v>2.2000000476837198</v>
      </c>
      <c r="D475" s="81">
        <v>2</v>
      </c>
      <c r="E475" s="81">
        <f t="shared" si="14"/>
        <v>547.61710000000005</v>
      </c>
      <c r="H475" s="83">
        <v>75013</v>
      </c>
      <c r="I475" s="83">
        <v>2</v>
      </c>
      <c r="J475" s="83" t="str">
        <f t="shared" si="15"/>
        <v>750132</v>
      </c>
      <c r="K475" s="83">
        <v>547.61710000000005</v>
      </c>
    </row>
    <row r="476" spans="1:11" ht="15">
      <c r="A476" s="81">
        <v>76002</v>
      </c>
      <c r="B476" s="81">
        <v>2</v>
      </c>
      <c r="C476" s="81">
        <v>2.9000000953674299</v>
      </c>
      <c r="D476" s="81">
        <v>1</v>
      </c>
      <c r="E476" s="81">
        <f t="shared" si="14"/>
        <v>547.61710000000005</v>
      </c>
      <c r="H476" s="83">
        <v>76001</v>
      </c>
      <c r="I476" s="83">
        <v>1</v>
      </c>
      <c r="J476" s="83" t="str">
        <f t="shared" si="15"/>
        <v>760011</v>
      </c>
      <c r="K476" s="83">
        <v>547.61710000000005</v>
      </c>
    </row>
    <row r="477" spans="1:11" ht="15">
      <c r="A477" s="81">
        <v>76003</v>
      </c>
      <c r="B477" s="81">
        <v>1</v>
      </c>
      <c r="C477" s="81">
        <v>3</v>
      </c>
      <c r="D477" s="81">
        <v>1</v>
      </c>
      <c r="E477" s="81">
        <f t="shared" si="14"/>
        <v>547.61710000000005</v>
      </c>
      <c r="H477" s="83">
        <v>76001</v>
      </c>
      <c r="I477" s="83">
        <v>2</v>
      </c>
      <c r="J477" s="83" t="str">
        <f t="shared" si="15"/>
        <v>760012</v>
      </c>
      <c r="K477" s="83">
        <v>547.61710000000005</v>
      </c>
    </row>
    <row r="478" spans="1:11" ht="15">
      <c r="A478" s="81">
        <v>76003</v>
      </c>
      <c r="B478" s="81">
        <v>2</v>
      </c>
      <c r="C478" s="81">
        <v>3</v>
      </c>
      <c r="D478" s="81">
        <v>1</v>
      </c>
      <c r="E478" s="81">
        <f t="shared" si="14"/>
        <v>547.61710000000005</v>
      </c>
      <c r="H478" s="83">
        <v>76002</v>
      </c>
      <c r="I478" s="83">
        <v>1</v>
      </c>
      <c r="J478" s="83" t="str">
        <f t="shared" si="15"/>
        <v>760021</v>
      </c>
      <c r="K478" s="83">
        <v>547.61710000000005</v>
      </c>
    </row>
    <row r="479" spans="1:11" ht="15">
      <c r="A479" s="81">
        <v>76004</v>
      </c>
      <c r="B479" s="81">
        <v>1</v>
      </c>
      <c r="C479" s="81">
        <v>2</v>
      </c>
      <c r="D479" s="81">
        <v>1</v>
      </c>
      <c r="E479" s="81">
        <f t="shared" si="14"/>
        <v>547.61710000000005</v>
      </c>
      <c r="H479" s="83">
        <v>76002</v>
      </c>
      <c r="I479" s="83">
        <v>2</v>
      </c>
      <c r="J479" s="83" t="str">
        <f t="shared" si="15"/>
        <v>760022</v>
      </c>
      <c r="K479" s="83">
        <v>547.61710000000005</v>
      </c>
    </row>
    <row r="480" spans="1:11" ht="15">
      <c r="A480" s="81">
        <v>76004</v>
      </c>
      <c r="B480" s="81">
        <v>2</v>
      </c>
      <c r="C480" s="81">
        <v>2</v>
      </c>
      <c r="D480" s="81">
        <v>1</v>
      </c>
      <c r="E480" s="81">
        <f t="shared" si="14"/>
        <v>547.61710000000005</v>
      </c>
      <c r="H480" s="83">
        <v>76003</v>
      </c>
      <c r="I480" s="83">
        <v>1</v>
      </c>
      <c r="J480" s="83" t="str">
        <f t="shared" si="15"/>
        <v>760031</v>
      </c>
      <c r="K480" s="83">
        <v>547.61710000000005</v>
      </c>
    </row>
    <row r="481" spans="1:11" ht="15">
      <c r="A481" s="81">
        <v>76005</v>
      </c>
      <c r="B481" s="81">
        <v>1</v>
      </c>
      <c r="C481" s="81">
        <v>2.25</v>
      </c>
      <c r="D481" s="81">
        <v>1</v>
      </c>
      <c r="E481" s="81">
        <f t="shared" si="14"/>
        <v>547.61710000000005</v>
      </c>
      <c r="H481" s="83">
        <v>76003</v>
      </c>
      <c r="I481" s="83">
        <v>2</v>
      </c>
      <c r="J481" s="83" t="str">
        <f t="shared" si="15"/>
        <v>760032</v>
      </c>
      <c r="K481" s="83">
        <v>547.61710000000005</v>
      </c>
    </row>
    <row r="482" spans="1:11" ht="15">
      <c r="A482" s="81">
        <v>76005</v>
      </c>
      <c r="B482" s="81">
        <v>2</v>
      </c>
      <c r="C482" s="81">
        <v>2</v>
      </c>
      <c r="D482" s="81">
        <v>1</v>
      </c>
      <c r="E482" s="81">
        <f t="shared" si="14"/>
        <v>547.61710000000005</v>
      </c>
      <c r="H482" s="83">
        <v>76004</v>
      </c>
      <c r="I482" s="83">
        <v>1</v>
      </c>
      <c r="J482" s="83" t="str">
        <f t="shared" si="15"/>
        <v>760041</v>
      </c>
      <c r="K482" s="83">
        <v>547.61710000000005</v>
      </c>
    </row>
    <row r="483" spans="1:11" ht="15">
      <c r="A483" s="81">
        <v>76006</v>
      </c>
      <c r="B483" s="81">
        <v>1</v>
      </c>
      <c r="C483" s="81">
        <v>1.5</v>
      </c>
      <c r="D483" s="81">
        <v>1</v>
      </c>
      <c r="E483" s="81">
        <f t="shared" si="14"/>
        <v>547.61710000000005</v>
      </c>
      <c r="H483" s="83">
        <v>76004</v>
      </c>
      <c r="I483" s="83">
        <v>2</v>
      </c>
      <c r="J483" s="83" t="str">
        <f t="shared" si="15"/>
        <v>760042</v>
      </c>
      <c r="K483" s="83">
        <v>547.61710000000005</v>
      </c>
    </row>
    <row r="484" spans="1:11" ht="15">
      <c r="A484" s="81">
        <v>76006</v>
      </c>
      <c r="B484" s="81">
        <v>2</v>
      </c>
      <c r="C484" s="81">
        <v>2</v>
      </c>
      <c r="D484" s="81">
        <v>1</v>
      </c>
      <c r="E484" s="81">
        <f t="shared" si="14"/>
        <v>547.61710000000005</v>
      </c>
      <c r="H484" s="83">
        <v>76005</v>
      </c>
      <c r="I484" s="83">
        <v>1</v>
      </c>
      <c r="J484" s="83" t="str">
        <f t="shared" si="15"/>
        <v>760051</v>
      </c>
      <c r="K484" s="83">
        <v>547.61710000000005</v>
      </c>
    </row>
    <row r="485" spans="1:11" ht="15">
      <c r="A485" s="81">
        <v>76007</v>
      </c>
      <c r="B485" s="81">
        <v>1</v>
      </c>
      <c r="C485" s="81">
        <v>1.8999999761581401</v>
      </c>
      <c r="D485" s="81">
        <v>1</v>
      </c>
      <c r="E485" s="81">
        <f t="shared" si="14"/>
        <v>547.61710000000005</v>
      </c>
      <c r="H485" s="83">
        <v>76005</v>
      </c>
      <c r="I485" s="83">
        <v>2</v>
      </c>
      <c r="J485" s="83" t="str">
        <f t="shared" si="15"/>
        <v>760052</v>
      </c>
      <c r="K485" s="83">
        <v>547.61710000000005</v>
      </c>
    </row>
    <row r="486" spans="1:11" ht="15">
      <c r="A486" s="81">
        <v>76007</v>
      </c>
      <c r="B486" s="81">
        <v>2</v>
      </c>
      <c r="C486" s="81">
        <v>1.8999999761581401</v>
      </c>
      <c r="D486" s="81">
        <v>1</v>
      </c>
      <c r="E486" s="81">
        <f t="shared" si="14"/>
        <v>547.61710000000005</v>
      </c>
      <c r="H486" s="83">
        <v>76006</v>
      </c>
      <c r="I486" s="83">
        <v>1</v>
      </c>
      <c r="J486" s="83" t="str">
        <f t="shared" si="15"/>
        <v>760061</v>
      </c>
      <c r="K486" s="83">
        <v>547.61710000000005</v>
      </c>
    </row>
    <row r="487" spans="1:11" ht="15">
      <c r="A487" s="81">
        <v>76008</v>
      </c>
      <c r="B487" s="81">
        <v>1</v>
      </c>
      <c r="C487" s="81">
        <v>2</v>
      </c>
      <c r="D487" s="81">
        <v>1</v>
      </c>
      <c r="E487" s="81">
        <f t="shared" si="14"/>
        <v>547.61710000000005</v>
      </c>
      <c r="H487" s="83">
        <v>76006</v>
      </c>
      <c r="I487" s="83">
        <v>2</v>
      </c>
      <c r="J487" s="83" t="str">
        <f t="shared" si="15"/>
        <v>760062</v>
      </c>
      <c r="K487" s="83">
        <v>547.61710000000005</v>
      </c>
    </row>
    <row r="488" spans="1:11" ht="15">
      <c r="A488" s="81">
        <v>76008</v>
      </c>
      <c r="B488" s="81">
        <v>2</v>
      </c>
      <c r="C488" s="81">
        <v>3</v>
      </c>
      <c r="D488" s="81">
        <v>1</v>
      </c>
      <c r="E488" s="81">
        <f t="shared" si="14"/>
        <v>547.61710000000005</v>
      </c>
      <c r="H488" s="83">
        <v>76007</v>
      </c>
      <c r="I488" s="83">
        <v>1</v>
      </c>
      <c r="J488" s="83" t="str">
        <f t="shared" si="15"/>
        <v>760071</v>
      </c>
      <c r="K488" s="83">
        <v>547.61710000000005</v>
      </c>
    </row>
    <row r="489" spans="1:11" ht="15">
      <c r="A489" s="81">
        <v>76009</v>
      </c>
      <c r="B489" s="81">
        <v>1</v>
      </c>
      <c r="C489" s="81">
        <v>3.0999999046325701</v>
      </c>
      <c r="D489" s="81">
        <v>1</v>
      </c>
      <c r="E489" s="81">
        <f t="shared" si="14"/>
        <v>547.61710000000005</v>
      </c>
      <c r="H489" s="83">
        <v>76007</v>
      </c>
      <c r="I489" s="83">
        <v>2</v>
      </c>
      <c r="J489" s="83" t="str">
        <f t="shared" si="15"/>
        <v>760072</v>
      </c>
      <c r="K489" s="83">
        <v>547.61710000000005</v>
      </c>
    </row>
    <row r="490" spans="1:11" ht="15">
      <c r="A490" s="81">
        <v>76009</v>
      </c>
      <c r="B490" s="81">
        <v>2</v>
      </c>
      <c r="D490" s="81">
        <v>1</v>
      </c>
      <c r="E490" s="81">
        <f t="shared" si="14"/>
        <v>547.61710000000005</v>
      </c>
      <c r="H490" s="83">
        <v>76008</v>
      </c>
      <c r="I490" s="83">
        <v>1</v>
      </c>
      <c r="J490" s="83" t="str">
        <f t="shared" si="15"/>
        <v>760081</v>
      </c>
      <c r="K490" s="83">
        <v>547.61710000000005</v>
      </c>
    </row>
    <row r="491" spans="1:11" ht="15">
      <c r="A491" s="81">
        <v>76010</v>
      </c>
      <c r="B491" s="81">
        <v>1</v>
      </c>
      <c r="C491" s="81">
        <v>1.5</v>
      </c>
      <c r="D491" s="81">
        <v>1</v>
      </c>
      <c r="E491" s="81">
        <f t="shared" si="14"/>
        <v>547.61710000000005</v>
      </c>
      <c r="H491" s="83">
        <v>76008</v>
      </c>
      <c r="I491" s="83">
        <v>2</v>
      </c>
      <c r="J491" s="83" t="str">
        <f t="shared" si="15"/>
        <v>760082</v>
      </c>
      <c r="K491" s="83">
        <v>547.61710000000005</v>
      </c>
    </row>
    <row r="492" spans="1:11" ht="15">
      <c r="A492" s="81">
        <v>76010</v>
      </c>
      <c r="B492" s="81">
        <v>2</v>
      </c>
      <c r="C492" s="81">
        <v>1.75</v>
      </c>
      <c r="D492" s="81">
        <v>1</v>
      </c>
      <c r="E492" s="81">
        <f t="shared" si="14"/>
        <v>547.61710000000005</v>
      </c>
      <c r="H492" s="83">
        <v>76009</v>
      </c>
      <c r="I492" s="83">
        <v>1</v>
      </c>
      <c r="J492" s="83" t="str">
        <f t="shared" si="15"/>
        <v>760091</v>
      </c>
      <c r="K492" s="83">
        <v>547.61710000000005</v>
      </c>
    </row>
    <row r="493" spans="1:11" ht="15">
      <c r="A493" s="81">
        <v>76011</v>
      </c>
      <c r="B493" s="81">
        <v>1</v>
      </c>
      <c r="C493" s="81">
        <v>2</v>
      </c>
      <c r="D493" s="81">
        <v>1</v>
      </c>
      <c r="E493" s="81">
        <f t="shared" si="14"/>
        <v>547.61710000000005</v>
      </c>
      <c r="H493" s="83">
        <v>76009</v>
      </c>
      <c r="I493" s="83">
        <v>2</v>
      </c>
      <c r="J493" s="83" t="str">
        <f t="shared" si="15"/>
        <v>760092</v>
      </c>
      <c r="K493" s="83">
        <v>547.61710000000005</v>
      </c>
    </row>
    <row r="494" spans="1:11" ht="15">
      <c r="A494" s="81">
        <v>76011</v>
      </c>
      <c r="B494" s="81">
        <v>2</v>
      </c>
      <c r="D494" s="81">
        <v>1</v>
      </c>
      <c r="E494" s="81">
        <f t="shared" si="14"/>
        <v>547.61710000000005</v>
      </c>
      <c r="H494" s="83">
        <v>76010</v>
      </c>
      <c r="I494" s="83">
        <v>1</v>
      </c>
      <c r="J494" s="83" t="str">
        <f t="shared" si="15"/>
        <v>760101</v>
      </c>
      <c r="K494" s="83">
        <v>547.61710000000005</v>
      </c>
    </row>
    <row r="495" spans="1:11" ht="15">
      <c r="A495" s="81">
        <v>76012</v>
      </c>
      <c r="B495" s="81">
        <v>1</v>
      </c>
      <c r="C495" s="81">
        <v>1.5</v>
      </c>
      <c r="D495" s="81">
        <v>2</v>
      </c>
      <c r="E495" s="81">
        <f t="shared" si="14"/>
        <v>547.61710000000005</v>
      </c>
      <c r="H495" s="83">
        <v>76010</v>
      </c>
      <c r="I495" s="83">
        <v>2</v>
      </c>
      <c r="J495" s="83" t="str">
        <f t="shared" si="15"/>
        <v>760102</v>
      </c>
      <c r="K495" s="83">
        <v>547.61710000000005</v>
      </c>
    </row>
    <row r="496" spans="1:11" ht="15">
      <c r="A496" s="81">
        <v>76012</v>
      </c>
      <c r="B496" s="81">
        <v>2</v>
      </c>
      <c r="C496" s="81">
        <v>1.5</v>
      </c>
      <c r="D496" s="81">
        <v>1</v>
      </c>
      <c r="E496" s="81">
        <f t="shared" si="14"/>
        <v>547.61710000000005</v>
      </c>
      <c r="H496" s="83">
        <v>76011</v>
      </c>
      <c r="I496" s="83">
        <v>1</v>
      </c>
      <c r="J496" s="83" t="str">
        <f t="shared" si="15"/>
        <v>760111</v>
      </c>
      <c r="K496" s="83">
        <v>547.61710000000005</v>
      </c>
    </row>
    <row r="497" spans="1:11" ht="15">
      <c r="A497" s="81">
        <v>76013</v>
      </c>
      <c r="B497" s="81">
        <v>1</v>
      </c>
      <c r="C497" s="81">
        <v>3.2000000476837198</v>
      </c>
      <c r="D497" s="81">
        <v>1</v>
      </c>
      <c r="E497" s="81">
        <f t="shared" si="14"/>
        <v>547.61710000000005</v>
      </c>
      <c r="H497" s="83">
        <v>76011</v>
      </c>
      <c r="I497" s="83">
        <v>2</v>
      </c>
      <c r="J497" s="83" t="str">
        <f t="shared" si="15"/>
        <v>760112</v>
      </c>
      <c r="K497" s="83">
        <v>547.61710000000005</v>
      </c>
    </row>
    <row r="498" spans="1:11" ht="15">
      <c r="A498" s="81">
        <v>76013</v>
      </c>
      <c r="B498" s="81">
        <v>2</v>
      </c>
      <c r="C498" s="81">
        <v>2</v>
      </c>
      <c r="D498" s="81">
        <v>1</v>
      </c>
      <c r="E498" s="81">
        <f t="shared" si="14"/>
        <v>547.61710000000005</v>
      </c>
      <c r="H498" s="83">
        <v>76012</v>
      </c>
      <c r="I498" s="83">
        <v>1</v>
      </c>
      <c r="J498" s="83" t="str">
        <f t="shared" si="15"/>
        <v>760121</v>
      </c>
      <c r="K498" s="83">
        <v>547.61710000000005</v>
      </c>
    </row>
    <row r="499" spans="1:11" ht="15">
      <c r="A499" s="81">
        <v>77001</v>
      </c>
      <c r="B499" s="81">
        <v>1</v>
      </c>
      <c r="C499" s="81">
        <v>3</v>
      </c>
      <c r="D499" s="81">
        <v>1</v>
      </c>
      <c r="E499" s="81">
        <f t="shared" si="14"/>
        <v>547.61710000000005</v>
      </c>
      <c r="H499" s="83">
        <v>76012</v>
      </c>
      <c r="I499" s="83">
        <v>2</v>
      </c>
      <c r="J499" s="83" t="str">
        <f t="shared" si="15"/>
        <v>760122</v>
      </c>
      <c r="K499" s="83">
        <v>547.61710000000005</v>
      </c>
    </row>
    <row r="500" spans="1:11" ht="15">
      <c r="A500" s="81">
        <v>77001</v>
      </c>
      <c r="B500" s="81">
        <v>2</v>
      </c>
      <c r="C500" s="81">
        <v>3</v>
      </c>
      <c r="D500" s="81">
        <v>1</v>
      </c>
      <c r="E500" s="81">
        <f t="shared" si="14"/>
        <v>547.61710000000005</v>
      </c>
      <c r="H500" s="83">
        <v>76013</v>
      </c>
      <c r="I500" s="83">
        <v>1</v>
      </c>
      <c r="J500" s="83" t="str">
        <f t="shared" si="15"/>
        <v>760131</v>
      </c>
      <c r="K500" s="83">
        <v>547.61710000000005</v>
      </c>
    </row>
    <row r="501" spans="1:11" ht="15">
      <c r="A501" s="81">
        <v>77002</v>
      </c>
      <c r="B501" s="81">
        <v>1</v>
      </c>
      <c r="C501" s="81">
        <v>3.5</v>
      </c>
      <c r="D501" s="81">
        <v>2</v>
      </c>
      <c r="E501" s="81">
        <f t="shared" si="14"/>
        <v>547.61710000000005</v>
      </c>
      <c r="H501" s="83">
        <v>76013</v>
      </c>
      <c r="I501" s="83">
        <v>2</v>
      </c>
      <c r="J501" s="83" t="str">
        <f t="shared" si="15"/>
        <v>760132</v>
      </c>
      <c r="K501" s="83">
        <v>547.61710000000005</v>
      </c>
    </row>
    <row r="502" spans="1:11" ht="15">
      <c r="A502" s="81">
        <v>77002</v>
      </c>
      <c r="B502" s="81">
        <v>2</v>
      </c>
      <c r="C502" s="81">
        <v>2</v>
      </c>
      <c r="D502" s="81">
        <v>1</v>
      </c>
      <c r="E502" s="81">
        <f t="shared" si="14"/>
        <v>547.61710000000005</v>
      </c>
      <c r="H502" s="83">
        <v>77001</v>
      </c>
      <c r="I502" s="83">
        <v>1</v>
      </c>
      <c r="J502" s="83" t="str">
        <f t="shared" si="15"/>
        <v>770011</v>
      </c>
      <c r="K502" s="83">
        <v>547.61710000000005</v>
      </c>
    </row>
    <row r="503" spans="1:11" ht="15">
      <c r="A503" s="81">
        <v>77003</v>
      </c>
      <c r="B503" s="81">
        <v>1</v>
      </c>
      <c r="C503" s="81">
        <v>2</v>
      </c>
      <c r="D503" s="81">
        <v>1</v>
      </c>
      <c r="E503" s="81">
        <f t="shared" si="14"/>
        <v>547.61710000000005</v>
      </c>
      <c r="H503" s="83">
        <v>77001</v>
      </c>
      <c r="I503" s="83">
        <v>2</v>
      </c>
      <c r="J503" s="83" t="str">
        <f t="shared" si="15"/>
        <v>770012</v>
      </c>
      <c r="K503" s="83">
        <v>547.61710000000005</v>
      </c>
    </row>
    <row r="504" spans="1:11" ht="15">
      <c r="A504" s="81">
        <v>77003</v>
      </c>
      <c r="B504" s="81">
        <v>2</v>
      </c>
      <c r="C504" s="81">
        <v>2</v>
      </c>
      <c r="D504" s="81">
        <v>2</v>
      </c>
      <c r="E504" s="81">
        <f t="shared" si="14"/>
        <v>547.61710000000005</v>
      </c>
      <c r="H504" s="83">
        <v>77002</v>
      </c>
      <c r="I504" s="83">
        <v>1</v>
      </c>
      <c r="J504" s="83" t="str">
        <f t="shared" si="15"/>
        <v>770021</v>
      </c>
      <c r="K504" s="83">
        <v>547.61710000000005</v>
      </c>
    </row>
    <row r="505" spans="1:11" ht="15">
      <c r="A505" s="81">
        <v>77004</v>
      </c>
      <c r="B505" s="81">
        <v>1</v>
      </c>
      <c r="C505" s="81">
        <v>2.5</v>
      </c>
      <c r="D505" s="81">
        <v>1</v>
      </c>
      <c r="E505" s="81">
        <f t="shared" si="14"/>
        <v>547.61710000000005</v>
      </c>
      <c r="H505" s="83">
        <v>77002</v>
      </c>
      <c r="I505" s="83">
        <v>2</v>
      </c>
      <c r="J505" s="83" t="str">
        <f t="shared" si="15"/>
        <v>770022</v>
      </c>
      <c r="K505" s="83">
        <v>547.61710000000005</v>
      </c>
    </row>
    <row r="506" spans="1:11" ht="15">
      <c r="A506" s="81">
        <v>77004</v>
      </c>
      <c r="B506" s="81">
        <v>2</v>
      </c>
      <c r="C506" s="81">
        <v>2.5</v>
      </c>
      <c r="D506" s="81">
        <v>1</v>
      </c>
      <c r="E506" s="81">
        <f t="shared" si="14"/>
        <v>547.61710000000005</v>
      </c>
      <c r="H506" s="83">
        <v>77003</v>
      </c>
      <c r="I506" s="83">
        <v>1</v>
      </c>
      <c r="J506" s="83" t="str">
        <f t="shared" si="15"/>
        <v>770031</v>
      </c>
      <c r="K506" s="83">
        <v>547.61710000000005</v>
      </c>
    </row>
    <row r="507" spans="1:11" ht="15">
      <c r="A507" s="81">
        <v>77005</v>
      </c>
      <c r="B507" s="81">
        <v>1</v>
      </c>
      <c r="C507" s="81">
        <v>1.75</v>
      </c>
      <c r="D507" s="81">
        <v>2</v>
      </c>
      <c r="E507" s="81">
        <f t="shared" si="14"/>
        <v>547.61710000000005</v>
      </c>
      <c r="H507" s="83">
        <v>77003</v>
      </c>
      <c r="I507" s="83">
        <v>2</v>
      </c>
      <c r="J507" s="83" t="str">
        <f t="shared" si="15"/>
        <v>770032</v>
      </c>
      <c r="K507" s="83">
        <v>547.61710000000005</v>
      </c>
    </row>
    <row r="508" spans="1:11" ht="15">
      <c r="A508" s="81">
        <v>77005</v>
      </c>
      <c r="B508" s="81">
        <v>2</v>
      </c>
      <c r="C508" s="81">
        <v>2.5</v>
      </c>
      <c r="D508" s="81">
        <v>2</v>
      </c>
      <c r="E508" s="81">
        <f t="shared" si="14"/>
        <v>547.61710000000005</v>
      </c>
      <c r="H508" s="83">
        <v>77004</v>
      </c>
      <c r="I508" s="83">
        <v>1</v>
      </c>
      <c r="J508" s="83" t="str">
        <f t="shared" si="15"/>
        <v>770041</v>
      </c>
      <c r="K508" s="83">
        <v>547.61710000000005</v>
      </c>
    </row>
    <row r="509" spans="1:11" ht="15">
      <c r="A509" s="81">
        <v>77006</v>
      </c>
      <c r="B509" s="81">
        <v>1</v>
      </c>
      <c r="C509" s="81">
        <v>2</v>
      </c>
      <c r="D509" s="81">
        <v>2</v>
      </c>
      <c r="E509" s="81">
        <f t="shared" si="14"/>
        <v>547.61710000000005</v>
      </c>
      <c r="H509" s="83">
        <v>77004</v>
      </c>
      <c r="I509" s="83">
        <v>2</v>
      </c>
      <c r="J509" s="83" t="str">
        <f t="shared" si="15"/>
        <v>770042</v>
      </c>
      <c r="K509" s="83">
        <v>547.61710000000005</v>
      </c>
    </row>
    <row r="510" spans="1:11" ht="15">
      <c r="A510" s="81">
        <v>77006</v>
      </c>
      <c r="B510" s="81">
        <v>2</v>
      </c>
      <c r="C510" s="81">
        <v>2.0999999046325701</v>
      </c>
      <c r="D510" s="81">
        <v>1</v>
      </c>
      <c r="E510" s="81">
        <f t="shared" si="14"/>
        <v>547.61710000000005</v>
      </c>
      <c r="H510" s="83">
        <v>77005</v>
      </c>
      <c r="I510" s="83">
        <v>1</v>
      </c>
      <c r="J510" s="83" t="str">
        <f t="shared" si="15"/>
        <v>770051</v>
      </c>
      <c r="K510" s="83">
        <v>547.61710000000005</v>
      </c>
    </row>
    <row r="511" spans="1:11" ht="15">
      <c r="A511" s="81">
        <v>77007</v>
      </c>
      <c r="B511" s="81">
        <v>1</v>
      </c>
      <c r="C511" s="81">
        <v>2.2000000476837198</v>
      </c>
      <c r="D511" s="81">
        <v>1</v>
      </c>
      <c r="E511" s="81">
        <f t="shared" si="14"/>
        <v>547.61710000000005</v>
      </c>
      <c r="H511" s="83">
        <v>77005</v>
      </c>
      <c r="I511" s="83">
        <v>2</v>
      </c>
      <c r="J511" s="83" t="str">
        <f t="shared" si="15"/>
        <v>770052</v>
      </c>
      <c r="K511" s="83">
        <v>547.61710000000005</v>
      </c>
    </row>
    <row r="512" spans="1:11" ht="15">
      <c r="A512" s="81">
        <v>77007</v>
      </c>
      <c r="B512" s="81">
        <v>2</v>
      </c>
      <c r="C512" s="81">
        <v>2</v>
      </c>
      <c r="D512" s="81">
        <v>1</v>
      </c>
      <c r="E512" s="81">
        <f t="shared" si="14"/>
        <v>547.61710000000005</v>
      </c>
      <c r="H512" s="83">
        <v>77006</v>
      </c>
      <c r="I512" s="83">
        <v>1</v>
      </c>
      <c r="J512" s="83" t="str">
        <f t="shared" si="15"/>
        <v>770061</v>
      </c>
      <c r="K512" s="83">
        <v>547.61710000000005</v>
      </c>
    </row>
    <row r="513" spans="1:11" ht="15">
      <c r="A513" s="81">
        <v>77008</v>
      </c>
      <c r="B513" s="81">
        <v>1</v>
      </c>
      <c r="C513" s="81">
        <v>2.25</v>
      </c>
      <c r="D513" s="81">
        <v>1</v>
      </c>
      <c r="E513" s="81">
        <f t="shared" si="14"/>
        <v>547.61710000000005</v>
      </c>
      <c r="H513" s="83">
        <v>77006</v>
      </c>
      <c r="I513" s="83">
        <v>2</v>
      </c>
      <c r="J513" s="83" t="str">
        <f t="shared" si="15"/>
        <v>770062</v>
      </c>
      <c r="K513" s="83">
        <v>547.61710000000005</v>
      </c>
    </row>
    <row r="514" spans="1:11" ht="15">
      <c r="A514" s="81">
        <v>77008</v>
      </c>
      <c r="B514" s="81">
        <v>2</v>
      </c>
      <c r="C514" s="81">
        <v>1.25</v>
      </c>
      <c r="D514" s="81">
        <v>1</v>
      </c>
      <c r="E514" s="81">
        <f t="shared" si="14"/>
        <v>547.61710000000005</v>
      </c>
      <c r="H514" s="83">
        <v>77007</v>
      </c>
      <c r="I514" s="83">
        <v>1</v>
      </c>
      <c r="J514" s="83" t="str">
        <f t="shared" si="15"/>
        <v>770071</v>
      </c>
      <c r="K514" s="83">
        <v>547.61710000000005</v>
      </c>
    </row>
    <row r="515" spans="1:11" ht="15">
      <c r="A515" s="81">
        <v>77009</v>
      </c>
      <c r="B515" s="81">
        <v>1</v>
      </c>
      <c r="C515" s="81">
        <v>3</v>
      </c>
      <c r="D515" s="81">
        <v>1</v>
      </c>
      <c r="E515" s="81">
        <f t="shared" ref="E515:E540" si="16">VLOOKUP(A515&amp;B515,$J$2:$K$553,2,FALSE)</f>
        <v>547.61710000000005</v>
      </c>
      <c r="H515" s="83">
        <v>77007</v>
      </c>
      <c r="I515" s="83">
        <v>2</v>
      </c>
      <c r="J515" s="83" t="str">
        <f t="shared" ref="J515:J553" si="17">H515&amp;I515</f>
        <v>770072</v>
      </c>
      <c r="K515" s="83">
        <v>547.61710000000005</v>
      </c>
    </row>
    <row r="516" spans="1:11" ht="15">
      <c r="A516" s="81">
        <v>77009</v>
      </c>
      <c r="B516" s="81">
        <v>2</v>
      </c>
      <c r="C516" s="81">
        <v>1.79999995231628</v>
      </c>
      <c r="D516" s="81">
        <v>1</v>
      </c>
      <c r="E516" s="81">
        <f t="shared" si="16"/>
        <v>547.61710000000005</v>
      </c>
      <c r="H516" s="83">
        <v>77008</v>
      </c>
      <c r="I516" s="83">
        <v>1</v>
      </c>
      <c r="J516" s="83" t="str">
        <f t="shared" si="17"/>
        <v>770081</v>
      </c>
      <c r="K516" s="83">
        <v>547.61710000000005</v>
      </c>
    </row>
    <row r="517" spans="1:11" ht="15">
      <c r="A517" s="81">
        <v>77010</v>
      </c>
      <c r="B517" s="81">
        <v>1</v>
      </c>
      <c r="C517" s="81">
        <v>3.5</v>
      </c>
      <c r="D517" s="81">
        <v>1</v>
      </c>
      <c r="E517" s="81">
        <f t="shared" si="16"/>
        <v>547.61710000000005</v>
      </c>
      <c r="H517" s="83">
        <v>77008</v>
      </c>
      <c r="I517" s="83">
        <v>2</v>
      </c>
      <c r="J517" s="83" t="str">
        <f t="shared" si="17"/>
        <v>770082</v>
      </c>
      <c r="K517" s="83">
        <v>547.61710000000005</v>
      </c>
    </row>
    <row r="518" spans="1:11" ht="15">
      <c r="A518" s="81">
        <v>77010</v>
      </c>
      <c r="B518" s="81">
        <v>2</v>
      </c>
      <c r="C518" s="81">
        <v>3.9000000953674299</v>
      </c>
      <c r="D518" s="81">
        <v>1</v>
      </c>
      <c r="E518" s="81">
        <f t="shared" si="16"/>
        <v>547.61710000000005</v>
      </c>
      <c r="H518" s="83">
        <v>77009</v>
      </c>
      <c r="I518" s="83">
        <v>1</v>
      </c>
      <c r="J518" s="83" t="str">
        <f t="shared" si="17"/>
        <v>770091</v>
      </c>
      <c r="K518" s="83">
        <v>547.61710000000005</v>
      </c>
    </row>
    <row r="519" spans="1:11" ht="15">
      <c r="A519" s="81">
        <v>77011</v>
      </c>
      <c r="B519" s="81">
        <v>1</v>
      </c>
      <c r="C519" s="81">
        <v>1.5</v>
      </c>
      <c r="D519" s="81">
        <v>2</v>
      </c>
      <c r="E519" s="81">
        <f t="shared" si="16"/>
        <v>547.61710000000005</v>
      </c>
      <c r="H519" s="83">
        <v>77009</v>
      </c>
      <c r="I519" s="83">
        <v>2</v>
      </c>
      <c r="J519" s="83" t="str">
        <f t="shared" si="17"/>
        <v>770092</v>
      </c>
      <c r="K519" s="83">
        <v>547.61710000000005</v>
      </c>
    </row>
    <row r="520" spans="1:11" ht="15">
      <c r="A520" s="81">
        <v>77011</v>
      </c>
      <c r="B520" s="81">
        <v>2</v>
      </c>
      <c r="C520" s="81">
        <v>1.5</v>
      </c>
      <c r="D520" s="81">
        <v>1</v>
      </c>
      <c r="E520" s="81">
        <f t="shared" si="16"/>
        <v>547.61710000000005</v>
      </c>
      <c r="H520" s="83">
        <v>77010</v>
      </c>
      <c r="I520" s="83">
        <v>1</v>
      </c>
      <c r="J520" s="83" t="str">
        <f t="shared" si="17"/>
        <v>770101</v>
      </c>
      <c r="K520" s="83">
        <v>547.61710000000005</v>
      </c>
    </row>
    <row r="521" spans="1:11" ht="15">
      <c r="A521" s="81">
        <v>78001</v>
      </c>
      <c r="B521" s="81">
        <v>1</v>
      </c>
      <c r="C521" s="81">
        <v>1.75</v>
      </c>
      <c r="D521" s="81">
        <v>2</v>
      </c>
      <c r="E521" s="81">
        <f t="shared" si="16"/>
        <v>547.61710000000005</v>
      </c>
      <c r="H521" s="83">
        <v>77010</v>
      </c>
      <c r="I521" s="83">
        <v>2</v>
      </c>
      <c r="J521" s="83" t="str">
        <f t="shared" si="17"/>
        <v>770102</v>
      </c>
      <c r="K521" s="83">
        <v>547.61710000000005</v>
      </c>
    </row>
    <row r="522" spans="1:11" ht="15">
      <c r="A522" s="81">
        <v>78001</v>
      </c>
      <c r="B522" s="81">
        <v>2</v>
      </c>
      <c r="C522" s="81">
        <v>1.75</v>
      </c>
      <c r="D522" s="81">
        <v>2</v>
      </c>
      <c r="E522" s="81">
        <f t="shared" si="16"/>
        <v>547.61710000000005</v>
      </c>
      <c r="H522" s="83">
        <v>77011</v>
      </c>
      <c r="I522" s="83">
        <v>1</v>
      </c>
      <c r="J522" s="83" t="str">
        <f t="shared" si="17"/>
        <v>770111</v>
      </c>
      <c r="K522" s="83">
        <v>547.61710000000005</v>
      </c>
    </row>
    <row r="523" spans="1:11" ht="15">
      <c r="A523" s="81">
        <v>78002</v>
      </c>
      <c r="B523" s="81">
        <v>1</v>
      </c>
      <c r="C523" s="81">
        <v>2.5</v>
      </c>
      <c r="D523" s="81">
        <v>2</v>
      </c>
      <c r="E523" s="81">
        <f t="shared" si="16"/>
        <v>547.61710000000005</v>
      </c>
      <c r="H523" s="83">
        <v>77011</v>
      </c>
      <c r="I523" s="83">
        <v>2</v>
      </c>
      <c r="J523" s="83" t="str">
        <f t="shared" si="17"/>
        <v>770112</v>
      </c>
      <c r="K523" s="83">
        <v>547.61710000000005</v>
      </c>
    </row>
    <row r="524" spans="1:11" ht="15">
      <c r="A524" s="81">
        <v>78002</v>
      </c>
      <c r="B524" s="81">
        <v>2</v>
      </c>
      <c r="C524" s="81">
        <v>3</v>
      </c>
      <c r="D524" s="81">
        <v>2</v>
      </c>
      <c r="E524" s="81">
        <f t="shared" si="16"/>
        <v>547.61710000000005</v>
      </c>
      <c r="H524" s="83">
        <v>78001</v>
      </c>
      <c r="I524" s="83">
        <v>1</v>
      </c>
      <c r="J524" s="83" t="str">
        <f t="shared" si="17"/>
        <v>780011</v>
      </c>
      <c r="K524" s="83">
        <v>547.61710000000005</v>
      </c>
    </row>
    <row r="525" spans="1:11" ht="15">
      <c r="A525" s="81">
        <v>78003</v>
      </c>
      <c r="B525" s="81">
        <v>1</v>
      </c>
      <c r="C525" s="81">
        <v>1.5</v>
      </c>
      <c r="D525" s="81">
        <v>2</v>
      </c>
      <c r="E525" s="81">
        <f t="shared" si="16"/>
        <v>547.61710000000005</v>
      </c>
      <c r="H525" s="83">
        <v>78001</v>
      </c>
      <c r="I525" s="83">
        <v>2</v>
      </c>
      <c r="J525" s="83" t="str">
        <f t="shared" si="17"/>
        <v>780012</v>
      </c>
      <c r="K525" s="83">
        <v>547.61710000000005</v>
      </c>
    </row>
    <row r="526" spans="1:11" ht="15">
      <c r="A526" s="81">
        <v>78003</v>
      </c>
      <c r="B526" s="81">
        <v>2</v>
      </c>
      <c r="C526" s="81">
        <v>1.25</v>
      </c>
      <c r="D526" s="81">
        <v>1</v>
      </c>
      <c r="E526" s="81">
        <f t="shared" si="16"/>
        <v>547.61710000000005</v>
      </c>
      <c r="H526" s="83">
        <v>78002</v>
      </c>
      <c r="I526" s="83">
        <v>1</v>
      </c>
      <c r="J526" s="83" t="str">
        <f t="shared" si="17"/>
        <v>780021</v>
      </c>
      <c r="K526" s="83">
        <v>547.61710000000005</v>
      </c>
    </row>
    <row r="527" spans="1:11" ht="15">
      <c r="A527" s="81">
        <v>78004</v>
      </c>
      <c r="B527" s="81">
        <v>1</v>
      </c>
      <c r="C527" s="81">
        <v>2</v>
      </c>
      <c r="D527" s="81">
        <v>1</v>
      </c>
      <c r="E527" s="81">
        <f t="shared" si="16"/>
        <v>547.61710000000005</v>
      </c>
      <c r="H527" s="83">
        <v>78002</v>
      </c>
      <c r="I527" s="83">
        <v>2</v>
      </c>
      <c r="J527" s="83" t="str">
        <f t="shared" si="17"/>
        <v>780022</v>
      </c>
      <c r="K527" s="83">
        <v>547.61710000000005</v>
      </c>
    </row>
    <row r="528" spans="1:11" ht="15">
      <c r="A528" s="81">
        <v>78004</v>
      </c>
      <c r="B528" s="81">
        <v>2</v>
      </c>
      <c r="C528" s="81">
        <v>1.5</v>
      </c>
      <c r="D528" s="81">
        <v>1</v>
      </c>
      <c r="E528" s="81">
        <f t="shared" si="16"/>
        <v>547.61710000000005</v>
      </c>
      <c r="H528" s="83">
        <v>78003</v>
      </c>
      <c r="I528" s="83">
        <v>1</v>
      </c>
      <c r="J528" s="83" t="str">
        <f t="shared" si="17"/>
        <v>780031</v>
      </c>
      <c r="K528" s="83">
        <v>547.61710000000005</v>
      </c>
    </row>
    <row r="529" spans="1:11" ht="15">
      <c r="A529" s="81">
        <v>78005</v>
      </c>
      <c r="B529" s="81">
        <v>1</v>
      </c>
      <c r="C529" s="81">
        <v>2</v>
      </c>
      <c r="D529" s="81">
        <v>1</v>
      </c>
      <c r="E529" s="81">
        <f t="shared" si="16"/>
        <v>547.61710000000005</v>
      </c>
      <c r="H529" s="83">
        <v>78003</v>
      </c>
      <c r="I529" s="83">
        <v>2</v>
      </c>
      <c r="J529" s="83" t="str">
        <f t="shared" si="17"/>
        <v>780032</v>
      </c>
      <c r="K529" s="83">
        <v>547.61710000000005</v>
      </c>
    </row>
    <row r="530" spans="1:11" ht="15">
      <c r="A530" s="81">
        <v>78005</v>
      </c>
      <c r="B530" s="81">
        <v>2</v>
      </c>
      <c r="C530" s="81">
        <v>2</v>
      </c>
      <c r="D530" s="81">
        <v>1</v>
      </c>
      <c r="E530" s="81">
        <f t="shared" si="16"/>
        <v>547.61710000000005</v>
      </c>
      <c r="H530" s="83">
        <v>78004</v>
      </c>
      <c r="I530" s="83">
        <v>1</v>
      </c>
      <c r="J530" s="83" t="str">
        <f t="shared" si="17"/>
        <v>780041</v>
      </c>
      <c r="K530" s="83">
        <v>547.61710000000005</v>
      </c>
    </row>
    <row r="531" spans="1:11" ht="15">
      <c r="A531" s="81">
        <v>78006</v>
      </c>
      <c r="B531" s="81">
        <v>1</v>
      </c>
      <c r="C531" s="81">
        <v>1</v>
      </c>
      <c r="D531" s="81">
        <v>1</v>
      </c>
      <c r="E531" s="81">
        <f t="shared" si="16"/>
        <v>547.61710000000005</v>
      </c>
      <c r="H531" s="83">
        <v>78004</v>
      </c>
      <c r="I531" s="83">
        <v>2</v>
      </c>
      <c r="J531" s="83" t="str">
        <f t="shared" si="17"/>
        <v>780042</v>
      </c>
      <c r="K531" s="83">
        <v>547.61710000000005</v>
      </c>
    </row>
    <row r="532" spans="1:11" ht="15">
      <c r="A532" s="81">
        <v>78006</v>
      </c>
      <c r="B532" s="81">
        <v>2</v>
      </c>
      <c r="C532" s="81">
        <v>1</v>
      </c>
      <c r="D532" s="81">
        <v>1</v>
      </c>
      <c r="E532" s="81">
        <f t="shared" si="16"/>
        <v>547.61710000000005</v>
      </c>
      <c r="H532" s="83">
        <v>78005</v>
      </c>
      <c r="I532" s="83">
        <v>1</v>
      </c>
      <c r="J532" s="83" t="str">
        <f t="shared" si="17"/>
        <v>780051</v>
      </c>
      <c r="K532" s="83">
        <v>547.61710000000005</v>
      </c>
    </row>
    <row r="533" spans="1:11" ht="15">
      <c r="A533" s="81">
        <v>78007</v>
      </c>
      <c r="B533" s="81">
        <v>1</v>
      </c>
      <c r="C533" s="81">
        <v>3</v>
      </c>
      <c r="D533" s="81">
        <v>1</v>
      </c>
      <c r="E533" s="81">
        <f t="shared" si="16"/>
        <v>547.61710000000005</v>
      </c>
      <c r="H533" s="83">
        <v>78005</v>
      </c>
      <c r="I533" s="83">
        <v>2</v>
      </c>
      <c r="J533" s="83" t="str">
        <f t="shared" si="17"/>
        <v>780052</v>
      </c>
      <c r="K533" s="83">
        <v>547.61710000000005</v>
      </c>
    </row>
    <row r="534" spans="1:11" ht="15">
      <c r="A534" s="81">
        <v>78007</v>
      </c>
      <c r="B534" s="81">
        <v>2</v>
      </c>
      <c r="C534" s="81">
        <v>3.25</v>
      </c>
      <c r="D534" s="81">
        <v>1</v>
      </c>
      <c r="E534" s="81">
        <f t="shared" si="16"/>
        <v>547.61710000000005</v>
      </c>
      <c r="H534" s="83">
        <v>78006</v>
      </c>
      <c r="I534" s="83">
        <v>1</v>
      </c>
      <c r="J534" s="83" t="str">
        <f t="shared" si="17"/>
        <v>780061</v>
      </c>
      <c r="K534" s="83">
        <v>547.61710000000005</v>
      </c>
    </row>
    <row r="535" spans="1:11" ht="15">
      <c r="A535" s="81">
        <v>78008</v>
      </c>
      <c r="B535" s="81">
        <v>1</v>
      </c>
      <c r="C535" s="81">
        <v>1.25</v>
      </c>
      <c r="D535" s="81">
        <v>1</v>
      </c>
      <c r="E535" s="81">
        <f t="shared" si="16"/>
        <v>547.61710000000005</v>
      </c>
      <c r="H535" s="83">
        <v>78006</v>
      </c>
      <c r="I535" s="83">
        <v>2</v>
      </c>
      <c r="J535" s="83" t="str">
        <f t="shared" si="17"/>
        <v>780062</v>
      </c>
      <c r="K535" s="83">
        <v>547.61710000000005</v>
      </c>
    </row>
    <row r="536" spans="1:11" ht="15">
      <c r="A536" s="81">
        <v>78008</v>
      </c>
      <c r="B536" s="81">
        <v>2</v>
      </c>
      <c r="C536" s="81">
        <v>1.25</v>
      </c>
      <c r="D536" s="81">
        <v>1</v>
      </c>
      <c r="E536" s="81">
        <f t="shared" si="16"/>
        <v>547.61710000000005</v>
      </c>
      <c r="H536" s="83">
        <v>78007</v>
      </c>
      <c r="I536" s="83">
        <v>1</v>
      </c>
      <c r="J536" s="83" t="str">
        <f t="shared" si="17"/>
        <v>780071</v>
      </c>
      <c r="K536" s="83">
        <v>547.61710000000005</v>
      </c>
    </row>
    <row r="537" spans="1:11" ht="15">
      <c r="A537" s="81">
        <v>78009</v>
      </c>
      <c r="B537" s="81">
        <v>1</v>
      </c>
      <c r="C537" s="81">
        <v>2.7999999523162802</v>
      </c>
      <c r="D537" s="81">
        <v>1</v>
      </c>
      <c r="E537" s="81">
        <f t="shared" si="16"/>
        <v>547.61710000000005</v>
      </c>
      <c r="H537" s="83">
        <v>78007</v>
      </c>
      <c r="I537" s="83">
        <v>2</v>
      </c>
      <c r="J537" s="83" t="str">
        <f t="shared" si="17"/>
        <v>780072</v>
      </c>
      <c r="K537" s="83">
        <v>547.61710000000005</v>
      </c>
    </row>
    <row r="538" spans="1:11" ht="15">
      <c r="A538" s="81">
        <v>78009</v>
      </c>
      <c r="B538" s="81">
        <v>2</v>
      </c>
      <c r="C538" s="81">
        <v>3.0999999046325701</v>
      </c>
      <c r="D538" s="81">
        <v>2</v>
      </c>
      <c r="E538" s="81">
        <f t="shared" si="16"/>
        <v>547.61710000000005</v>
      </c>
      <c r="H538" s="83">
        <v>78008</v>
      </c>
      <c r="I538" s="83">
        <v>1</v>
      </c>
      <c r="J538" s="83" t="str">
        <f t="shared" si="17"/>
        <v>780081</v>
      </c>
      <c r="K538" s="83">
        <v>547.61710000000005</v>
      </c>
    </row>
    <row r="539" spans="1:11" ht="15">
      <c r="A539" s="81">
        <v>78010</v>
      </c>
      <c r="B539" s="81">
        <v>1</v>
      </c>
      <c r="C539" s="81">
        <v>1.5</v>
      </c>
      <c r="D539" s="81">
        <v>1</v>
      </c>
      <c r="E539" s="81">
        <f t="shared" si="16"/>
        <v>547.61710000000005</v>
      </c>
      <c r="H539" s="83">
        <v>78008</v>
      </c>
      <c r="I539" s="83">
        <v>2</v>
      </c>
      <c r="J539" s="83" t="str">
        <f t="shared" si="17"/>
        <v>780082</v>
      </c>
      <c r="K539" s="83">
        <v>547.61710000000005</v>
      </c>
    </row>
    <row r="540" spans="1:11" ht="15">
      <c r="A540" s="81">
        <v>78010</v>
      </c>
      <c r="B540" s="81">
        <v>2</v>
      </c>
      <c r="C540" s="81">
        <v>1.5</v>
      </c>
      <c r="D540" s="81">
        <v>1</v>
      </c>
      <c r="E540" s="81">
        <f t="shared" si="16"/>
        <v>547.61710000000005</v>
      </c>
      <c r="H540" s="83">
        <v>78009</v>
      </c>
      <c r="I540" s="83">
        <v>1</v>
      </c>
      <c r="J540" s="83" t="str">
        <f t="shared" si="17"/>
        <v>780091</v>
      </c>
      <c r="K540" s="83">
        <v>547.61710000000005</v>
      </c>
    </row>
    <row r="541" spans="1:11" ht="15">
      <c r="A541" s="81">
        <v>78011</v>
      </c>
      <c r="B541" s="81">
        <v>2</v>
      </c>
      <c r="H541" s="83">
        <v>78009</v>
      </c>
      <c r="I541" s="83">
        <v>2</v>
      </c>
      <c r="J541" s="83" t="str">
        <f t="shared" si="17"/>
        <v>780092</v>
      </c>
      <c r="K541" s="83">
        <v>547.61710000000005</v>
      </c>
    </row>
    <row r="542" spans="1:11" ht="15">
      <c r="A542" s="81">
        <v>78012</v>
      </c>
      <c r="B542" s="81">
        <v>1</v>
      </c>
      <c r="C542" s="81">
        <v>2</v>
      </c>
      <c r="D542" s="81">
        <v>1</v>
      </c>
      <c r="H542" s="83">
        <v>78010</v>
      </c>
      <c r="I542" s="83">
        <v>1</v>
      </c>
      <c r="J542" s="83" t="str">
        <f t="shared" si="17"/>
        <v>780101</v>
      </c>
      <c r="K542" s="83">
        <v>547.61710000000005</v>
      </c>
    </row>
    <row r="543" spans="1:11" ht="15">
      <c r="A543" s="81">
        <v>78012</v>
      </c>
      <c r="B543" s="81">
        <v>2</v>
      </c>
      <c r="C543" s="81">
        <v>2</v>
      </c>
      <c r="D543" s="81">
        <v>1</v>
      </c>
      <c r="H543" s="83">
        <v>78010</v>
      </c>
      <c r="I543" s="83">
        <v>2</v>
      </c>
      <c r="J543" s="83" t="str">
        <f t="shared" si="17"/>
        <v>780102</v>
      </c>
      <c r="K543" s="83">
        <v>547.61710000000005</v>
      </c>
    </row>
    <row r="544" spans="1:11" ht="15">
      <c r="A544" s="81">
        <v>80061</v>
      </c>
      <c r="B544" s="81">
        <v>1</v>
      </c>
      <c r="C544" s="81">
        <v>3.2999999523162802</v>
      </c>
      <c r="D544" s="81">
        <v>1</v>
      </c>
      <c r="H544" s="83">
        <v>78011</v>
      </c>
      <c r="I544" s="83">
        <v>1</v>
      </c>
      <c r="J544" s="83" t="str">
        <f t="shared" si="17"/>
        <v>780111</v>
      </c>
      <c r="K544" s="83">
        <v>547.61710000000005</v>
      </c>
    </row>
    <row r="545" spans="1:11" ht="15">
      <c r="A545" s="81">
        <v>80061</v>
      </c>
      <c r="B545" s="81">
        <v>2</v>
      </c>
      <c r="C545" s="81">
        <v>2</v>
      </c>
      <c r="D545" s="81">
        <v>1</v>
      </c>
      <c r="H545" s="83">
        <v>78011</v>
      </c>
      <c r="I545" s="83">
        <v>2</v>
      </c>
      <c r="J545" s="83" t="str">
        <f t="shared" si="17"/>
        <v>780112</v>
      </c>
      <c r="K545" s="83">
        <v>547.61710000000005</v>
      </c>
    </row>
    <row r="546" spans="1:11" ht="15">
      <c r="A546" s="81">
        <v>80061</v>
      </c>
      <c r="B546" s="81">
        <v>3</v>
      </c>
      <c r="C546" s="81">
        <v>2.2000000476837198</v>
      </c>
      <c r="D546" s="81">
        <v>1</v>
      </c>
      <c r="H546" s="83">
        <v>78012</v>
      </c>
      <c r="I546" s="83">
        <v>1</v>
      </c>
      <c r="J546" s="83" t="str">
        <f t="shared" si="17"/>
        <v>780121</v>
      </c>
      <c r="K546" s="83">
        <v>547.61710000000005</v>
      </c>
    </row>
    <row r="547" spans="1:11" ht="15">
      <c r="A547" s="81">
        <v>80073</v>
      </c>
      <c r="B547" s="81">
        <v>1</v>
      </c>
      <c r="C547" s="81">
        <v>1.8999999761581401</v>
      </c>
      <c r="D547" s="81">
        <v>1</v>
      </c>
      <c r="H547" s="83">
        <v>78012</v>
      </c>
      <c r="I547" s="83">
        <v>2</v>
      </c>
      <c r="J547" s="83" t="str">
        <f t="shared" si="17"/>
        <v>780122</v>
      </c>
      <c r="K547" s="83">
        <v>547.61710000000005</v>
      </c>
    </row>
    <row r="548" spans="1:11" ht="15">
      <c r="A548" s="81">
        <v>80073</v>
      </c>
      <c r="B548" s="81">
        <v>2</v>
      </c>
      <c r="C548" s="81">
        <v>2</v>
      </c>
      <c r="D548" s="81">
        <v>1</v>
      </c>
      <c r="H548" s="83">
        <v>80061</v>
      </c>
      <c r="I548" s="83">
        <v>1</v>
      </c>
      <c r="J548" s="83" t="str">
        <f t="shared" si="17"/>
        <v>800611</v>
      </c>
      <c r="K548" s="83">
        <v>686.91300000000001</v>
      </c>
    </row>
    <row r="549" spans="1:11" ht="15">
      <c r="A549" s="81">
        <v>80073</v>
      </c>
      <c r="B549" s="81">
        <v>3</v>
      </c>
      <c r="C549" s="81">
        <v>2</v>
      </c>
      <c r="D549" s="81">
        <v>1</v>
      </c>
      <c r="H549" s="83">
        <v>80061</v>
      </c>
      <c r="I549" s="83">
        <v>2</v>
      </c>
      <c r="J549" s="83" t="str">
        <f t="shared" si="17"/>
        <v>800612</v>
      </c>
      <c r="K549" s="83">
        <v>686.91300000000001</v>
      </c>
    </row>
    <row r="550" spans="1:11" ht="15">
      <c r="H550" s="83">
        <v>80061</v>
      </c>
      <c r="I550" s="83">
        <v>3</v>
      </c>
      <c r="J550" s="83" t="str">
        <f t="shared" si="17"/>
        <v>800613</v>
      </c>
      <c r="K550" s="83">
        <v>686.91300000000001</v>
      </c>
    </row>
    <row r="551" spans="1:11" ht="15">
      <c r="H551" s="83">
        <v>80073</v>
      </c>
      <c r="I551" s="83">
        <v>1</v>
      </c>
      <c r="J551" s="83" t="str">
        <f t="shared" si="17"/>
        <v>800731</v>
      </c>
      <c r="K551" s="83">
        <v>686.91309999999999</v>
      </c>
    </row>
    <row r="552" spans="1:11" ht="15">
      <c r="H552" s="83">
        <v>80073</v>
      </c>
      <c r="I552" s="83">
        <v>2</v>
      </c>
      <c r="J552" s="83" t="str">
        <f t="shared" si="17"/>
        <v>800732</v>
      </c>
      <c r="K552" s="83">
        <v>686.91309999999999</v>
      </c>
    </row>
    <row r="553" spans="1:11" ht="15">
      <c r="H553" s="83">
        <v>80073</v>
      </c>
      <c r="I553" s="83">
        <v>3</v>
      </c>
      <c r="J553" s="83" t="str">
        <f t="shared" si="17"/>
        <v>800733</v>
      </c>
      <c r="K553" s="83">
        <v>686.91309999999999</v>
      </c>
    </row>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vt:i4>
      </vt:variant>
    </vt:vector>
  </HeadingPairs>
  <TitlesOfParts>
    <vt:vector size="83" baseType="lpstr">
      <vt:lpstr>7PSourceSummary</vt:lpstr>
      <vt:lpstr>forRPM</vt:lpstr>
      <vt:lpstr>SC-New</vt:lpstr>
      <vt:lpstr>SC-Retro</vt:lpstr>
      <vt:lpstr>Units Per Home</vt:lpstr>
      <vt:lpstr>Accomplishments</vt:lpstr>
      <vt:lpstr>SFshowerhead</vt:lpstr>
      <vt:lpstr>MHshowerhead</vt:lpstr>
      <vt:lpstr>MFunit_showerheads</vt:lpstr>
      <vt:lpstr>M_Input_Out</vt:lpstr>
      <vt:lpstr>M_Input</vt:lpstr>
      <vt:lpstr>Increment</vt:lpstr>
      <vt:lpstr>Raw</vt:lpstr>
      <vt:lpstr>SFResidential Analysis</vt:lpstr>
      <vt:lpstr>MFResidential Analysis</vt:lpstr>
      <vt:lpstr>MHResidential Analysis</vt:lpstr>
      <vt:lpstr>SF Input Assumptions</vt:lpstr>
      <vt:lpstr>MF Input Assumptions</vt:lpstr>
      <vt:lpstr>MH Input Assumptions</vt:lpstr>
      <vt:lpstr>WasteWater System Savings</vt:lpstr>
      <vt:lpstr>'MF Input Assumptions'!ActualFlowRate</vt:lpstr>
      <vt:lpstr>'MH Input Assumptions'!ActualFlowRate</vt:lpstr>
      <vt:lpstr>ActualFlowRate</vt:lpstr>
      <vt:lpstr>'MFResidential Analysis'!AnnualOcc</vt:lpstr>
      <vt:lpstr>'MHResidential Analysis'!AnnualOcc</vt:lpstr>
      <vt:lpstr>AnnualOcc</vt:lpstr>
      <vt:lpstr>'MFResidential Analysis'!BaseFlowRate</vt:lpstr>
      <vt:lpstr>'MHResidential Analysis'!BaseFlowRate</vt:lpstr>
      <vt:lpstr>BaseFlowRate</vt:lpstr>
      <vt:lpstr>'MF Input Assumptions'!Costs</vt:lpstr>
      <vt:lpstr>'MH Input Assumptions'!Costs</vt:lpstr>
      <vt:lpstr>Costs</vt:lpstr>
      <vt:lpstr>'MFResidential Analysis'!DeltaTemp</vt:lpstr>
      <vt:lpstr>'MHResidential Analysis'!DeltaTemp</vt:lpstr>
      <vt:lpstr>DeltaTemp</vt:lpstr>
      <vt:lpstr>'MF Input Assumptions'!DHWEfficiency</vt:lpstr>
      <vt:lpstr>'MH Input Assumptions'!DHWEfficiency</vt:lpstr>
      <vt:lpstr>DHWEfficiency</vt:lpstr>
      <vt:lpstr>'MF Input Assumptions'!HotWaterPercent</vt:lpstr>
      <vt:lpstr>'MH Input Assumptions'!HotWaterPercent</vt:lpstr>
      <vt:lpstr>HotWaterPercent</vt:lpstr>
      <vt:lpstr>'MF Input Assumptions'!InSituFlowRate</vt:lpstr>
      <vt:lpstr>'MH Input Assumptions'!InSituFlowRate</vt:lpstr>
      <vt:lpstr>InSituFlowRate</vt:lpstr>
      <vt:lpstr>'MF Input Assumptions'!InstallationRates</vt:lpstr>
      <vt:lpstr>'MH Input Assumptions'!InstallationRates</vt:lpstr>
      <vt:lpstr>InstallationRates</vt:lpstr>
      <vt:lpstr>MeasureOutput</vt:lpstr>
      <vt:lpstr>'MF Input Assumptions'!MFElecDHWSat</vt:lpstr>
      <vt:lpstr>MFunit_showerheads</vt:lpstr>
      <vt:lpstr>'MH Input Assumptions'!MHElecDHWSat</vt:lpstr>
      <vt:lpstr>MHshowerhead</vt:lpstr>
      <vt:lpstr>'MF Input Assumptions'!MinPerShower</vt:lpstr>
      <vt:lpstr>'MH Input Assumptions'!MinPerShower</vt:lpstr>
      <vt:lpstr>MinPerShower</vt:lpstr>
      <vt:lpstr>'MFResidential Analysis'!PeoplePerShowerhead</vt:lpstr>
      <vt:lpstr>'MHResidential Analysis'!PeoplePerShowerhead</vt:lpstr>
      <vt:lpstr>PeoplePerShowerhead</vt:lpstr>
      <vt:lpstr>'MF Input Assumptions'!RatedFlowPercent</vt:lpstr>
      <vt:lpstr>'MH Input Assumptions'!RatedFlowPercent</vt:lpstr>
      <vt:lpstr>RatedFlowPercent</vt:lpstr>
      <vt:lpstr>'MF Input Assumptions'!RatedFlowPercent1</vt:lpstr>
      <vt:lpstr>'MH Input Assumptions'!RatedFlowPercent1</vt:lpstr>
      <vt:lpstr>RatedFlowPercent1</vt:lpstr>
      <vt:lpstr>'MF Input Assumptions'!RatedFlowRate</vt:lpstr>
      <vt:lpstr>'MH Input Assumptions'!RatedFlowRate</vt:lpstr>
      <vt:lpstr>RatedFlowRate</vt:lpstr>
      <vt:lpstr>'MF Input Assumptions'!ResInstallRate</vt:lpstr>
      <vt:lpstr>'MH Input Assumptions'!ResInstallRate</vt:lpstr>
      <vt:lpstr>ResInstallRate</vt:lpstr>
      <vt:lpstr>SFElecDHWSat</vt:lpstr>
      <vt:lpstr>'MFResidential Analysis'!ShowersPerCap</vt:lpstr>
      <vt:lpstr>'MHResidential Analysis'!ShowersPerCap</vt:lpstr>
      <vt:lpstr>ShowersPerCap</vt:lpstr>
      <vt:lpstr>ShowerTemp</vt:lpstr>
      <vt:lpstr>'MF Input Assumptions'!ShowerTimePercent</vt:lpstr>
      <vt:lpstr>'MH Input Assumptions'!ShowerTimePercent</vt:lpstr>
      <vt:lpstr>ShowerTimePercent</vt:lpstr>
      <vt:lpstr>'MFResidential Analysis'!ShowerType</vt:lpstr>
      <vt:lpstr>'MHResidential Analysis'!ShowerType</vt:lpstr>
      <vt:lpstr>ShowerType</vt:lpstr>
      <vt:lpstr>Wastewater</vt:lpstr>
      <vt:lpstr>WaterHeaterParameters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2015-03-12T23:35:23Z</dcterms:modified>
</cp:coreProperties>
</file>