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105" yWindow="525" windowWidth="20730" windowHeight="11730" activeTab="3"/>
  </bookViews>
  <sheets>
    <sheet name="7PSourceSummary" sheetId="10" r:id="rId1"/>
    <sheet name="forRPM" sheetId="18" r:id="rId2"/>
    <sheet name="SC-New" sheetId="9" r:id="rId3"/>
    <sheet name="SC-Retro" sheetId="8" r:id="rId4"/>
    <sheet name="M_Input_Out" sheetId="15" r:id="rId5"/>
    <sheet name="M_Input" sheetId="3" r:id="rId6"/>
    <sheet name="Raw" sheetId="1" r:id="rId7"/>
    <sheet name="Costs" sheetId="14" r:id="rId8"/>
    <sheet name="PNW Solar Zones" sheetId="16" r:id="rId9"/>
    <sheet name="SavingsFrac" sheetId="17" r:id="rId10"/>
  </sheets>
  <externalReferences>
    <externalReference r:id="rId11"/>
    <externalReference r:id="rId12"/>
    <externalReference r:id="rId13"/>
    <externalReference r:id="rId14"/>
  </externalReferences>
  <definedNames>
    <definedName name="_xlnm._FilterDatabase" localSheetId="7" hidden="1">Costs!$A$3:$K$113</definedName>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E13" i="8"/>
  <c r="F13"/>
  <c r="G13"/>
  <c r="H13"/>
  <c r="I13"/>
  <c r="J13"/>
  <c r="K13"/>
  <c r="L13"/>
  <c r="M13"/>
  <c r="N13"/>
  <c r="O13"/>
  <c r="P13"/>
  <c r="Q13"/>
  <c r="R13"/>
  <c r="S13"/>
  <c r="T13"/>
  <c r="U13"/>
  <c r="V13"/>
  <c r="W13"/>
  <c r="X13"/>
  <c r="D9" i="9"/>
  <c r="D8"/>
  <c r="D9" i="8"/>
  <c r="D8"/>
  <c r="C23" i="9"/>
  <c r="C8" i="8"/>
  <c r="C8" i="9"/>
  <c r="N116" i="14"/>
  <c r="N115"/>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4"/>
  <c r="C6" i="16"/>
  <c r="C5"/>
  <c r="C4"/>
  <c r="C3"/>
  <c r="C2"/>
  <c r="BA9" i="18" l="1"/>
  <c r="AU9"/>
  <c r="AP9"/>
  <c r="AK9"/>
  <c r="BD8"/>
  <c r="AZ8"/>
  <c r="AN8"/>
  <c r="AJ8"/>
  <c r="BA7"/>
  <c r="AZ7"/>
  <c r="AS7"/>
  <c r="AR7"/>
  <c r="AK7"/>
  <c r="AJ7"/>
  <c r="J10"/>
  <c r="BC10" s="1"/>
  <c r="I10"/>
  <c r="C10"/>
  <c r="B10"/>
  <c r="J9"/>
  <c r="BD9" s="1"/>
  <c r="I9"/>
  <c r="C9"/>
  <c r="B9"/>
  <c r="J8"/>
  <c r="BA8" s="1"/>
  <c r="I8"/>
  <c r="C8"/>
  <c r="B8"/>
  <c r="J7"/>
  <c r="BB7" s="1"/>
  <c r="I7"/>
  <c r="F7"/>
  <c r="C7"/>
  <c r="B7"/>
  <c r="B62" i="8"/>
  <c r="B63"/>
  <c r="B64"/>
  <c r="B65"/>
  <c r="H7" i="18" s="1"/>
  <c r="B66" i="8"/>
  <c r="H8" i="18" s="1"/>
  <c r="B67" i="8"/>
  <c r="H9" i="18" s="1"/>
  <c r="B68" i="8"/>
  <c r="H10" i="18" s="1"/>
  <c r="B61" i="8"/>
  <c r="A62"/>
  <c r="A63"/>
  <c r="A64"/>
  <c r="A65"/>
  <c r="A66"/>
  <c r="G8" i="18" s="1"/>
  <c r="A67" i="8"/>
  <c r="A68"/>
  <c r="A61"/>
  <c r="C65"/>
  <c r="C61"/>
  <c r="C48" i="9"/>
  <c r="B51"/>
  <c r="A51"/>
  <c r="B50"/>
  <c r="A50"/>
  <c r="B49"/>
  <c r="A49"/>
  <c r="B48"/>
  <c r="A48"/>
  <c r="B45"/>
  <c r="B46"/>
  <c r="B47"/>
  <c r="B44"/>
  <c r="A45"/>
  <c r="A46"/>
  <c r="A47"/>
  <c r="A44"/>
  <c r="AI9" i="18" l="1"/>
  <c r="AO9"/>
  <c r="AT9"/>
  <c r="AY9"/>
  <c r="AG10"/>
  <c r="AO10"/>
  <c r="AW10"/>
  <c r="F10"/>
  <c r="AG7"/>
  <c r="AO7"/>
  <c r="AW7"/>
  <c r="AF8"/>
  <c r="AV8"/>
  <c r="AH9"/>
  <c r="AM9"/>
  <c r="AS9"/>
  <c r="AX9"/>
  <c r="BC9"/>
  <c r="AL10"/>
  <c r="AT10"/>
  <c r="BB10"/>
  <c r="AH10"/>
  <c r="AP10"/>
  <c r="AX10"/>
  <c r="F9"/>
  <c r="AF7"/>
  <c r="AN7"/>
  <c r="AV7"/>
  <c r="BD7"/>
  <c r="AR8"/>
  <c r="AG9"/>
  <c r="AL9"/>
  <c r="AQ9"/>
  <c r="AW9"/>
  <c r="BB9"/>
  <c r="AK10"/>
  <c r="AS10"/>
  <c r="BA10"/>
  <c r="AI8"/>
  <c r="AM8"/>
  <c r="AQ8"/>
  <c r="AU8"/>
  <c r="AY8"/>
  <c r="BC8"/>
  <c r="AI7"/>
  <c r="AM7"/>
  <c r="AQ7"/>
  <c r="AU7"/>
  <c r="AY7"/>
  <c r="BC7"/>
  <c r="AH8"/>
  <c r="AL8"/>
  <c r="AP8"/>
  <c r="AT8"/>
  <c r="AX8"/>
  <c r="BB8"/>
  <c r="AF10"/>
  <c r="AJ10"/>
  <c r="AN10"/>
  <c r="AR10"/>
  <c r="AV10"/>
  <c r="AZ10"/>
  <c r="BD10"/>
  <c r="F8"/>
  <c r="AH7"/>
  <c r="AL7"/>
  <c r="AP7"/>
  <c r="AT7"/>
  <c r="AX7"/>
  <c r="AG8"/>
  <c r="AK8"/>
  <c r="AO8"/>
  <c r="AS8"/>
  <c r="AW8"/>
  <c r="AF9"/>
  <c r="AJ9"/>
  <c r="AN9"/>
  <c r="AR9"/>
  <c r="AV9"/>
  <c r="AZ9"/>
  <c r="AI10"/>
  <c r="AM10"/>
  <c r="AQ10"/>
  <c r="AU10"/>
  <c r="AY10"/>
  <c r="G7"/>
  <c r="G10"/>
  <c r="G9"/>
  <c r="J6" l="1"/>
  <c r="I6"/>
  <c r="C6"/>
  <c r="B6"/>
  <c r="J5"/>
  <c r="I5"/>
  <c r="C5"/>
  <c r="B5"/>
  <c r="J4"/>
  <c r="I4"/>
  <c r="C4"/>
  <c r="B4"/>
  <c r="J3"/>
  <c r="I3"/>
  <c r="C3"/>
  <c r="B3"/>
  <c r="AD2"/>
  <c r="AC2"/>
  <c r="AB2"/>
  <c r="AA2"/>
  <c r="Z2"/>
  <c r="Y2"/>
  <c r="X2"/>
  <c r="W2"/>
  <c r="V2"/>
  <c r="U2"/>
  <c r="T2"/>
  <c r="S2"/>
  <c r="R2"/>
  <c r="Q2"/>
  <c r="P2"/>
  <c r="O2"/>
  <c r="N2"/>
  <c r="M2"/>
  <c r="L2"/>
  <c r="K2"/>
  <c r="F3" l="1"/>
  <c r="BB3"/>
  <c r="AX3"/>
  <c r="AT3"/>
  <c r="AP3"/>
  <c r="AL3"/>
  <c r="AH3"/>
  <c r="BC3"/>
  <c r="AY3"/>
  <c r="AU3"/>
  <c r="AQ3"/>
  <c r="AM3"/>
  <c r="AI3"/>
  <c r="BD3"/>
  <c r="AZ3"/>
  <c r="AV3"/>
  <c r="AR3"/>
  <c r="AN3"/>
  <c r="AJ3"/>
  <c r="AF3"/>
  <c r="BA3"/>
  <c r="AW3"/>
  <c r="AS3"/>
  <c r="AO3"/>
  <c r="AK3"/>
  <c r="AG3"/>
  <c r="F4"/>
  <c r="BA4"/>
  <c r="AW4"/>
  <c r="AS4"/>
  <c r="AO4"/>
  <c r="AK4"/>
  <c r="AG4"/>
  <c r="BB4"/>
  <c r="AX4"/>
  <c r="AT4"/>
  <c r="AP4"/>
  <c r="AL4"/>
  <c r="AH4"/>
  <c r="BC4"/>
  <c r="AY4"/>
  <c r="AU4"/>
  <c r="AQ4"/>
  <c r="AM4"/>
  <c r="AI4"/>
  <c r="BD4"/>
  <c r="AZ4"/>
  <c r="AV4"/>
  <c r="AR4"/>
  <c r="AN4"/>
  <c r="AJ4"/>
  <c r="AF4"/>
  <c r="BD5"/>
  <c r="AZ5"/>
  <c r="AV5"/>
  <c r="AR5"/>
  <c r="AN5"/>
  <c r="AJ5"/>
  <c r="AF5"/>
  <c r="BA5"/>
  <c r="AW5"/>
  <c r="AS5"/>
  <c r="AO5"/>
  <c r="AK5"/>
  <c r="AG5"/>
  <c r="BB5"/>
  <c r="AX5"/>
  <c r="AT5"/>
  <c r="AP5"/>
  <c r="AL5"/>
  <c r="AH5"/>
  <c r="BC5"/>
  <c r="AY5"/>
  <c r="AU5"/>
  <c r="AQ5"/>
  <c r="AM5"/>
  <c r="AI5"/>
  <c r="BC6"/>
  <c r="AY6"/>
  <c r="AU6"/>
  <c r="AQ6"/>
  <c r="AM6"/>
  <c r="AI6"/>
  <c r="BD6"/>
  <c r="AZ6"/>
  <c r="AV6"/>
  <c r="AR6"/>
  <c r="AN6"/>
  <c r="AJ6"/>
  <c r="AF6"/>
  <c r="BA6"/>
  <c r="AW6"/>
  <c r="AS6"/>
  <c r="AO6"/>
  <c r="AK6"/>
  <c r="AG6"/>
  <c r="BB6"/>
  <c r="AX6"/>
  <c r="AT6"/>
  <c r="AP6"/>
  <c r="AL6"/>
  <c r="AH6"/>
  <c r="F5"/>
  <c r="F6"/>
  <c r="B26" i="9" l="1"/>
  <c r="B25"/>
  <c r="B24"/>
  <c r="B23"/>
  <c r="B8" i="3"/>
  <c r="D8"/>
  <c r="F8"/>
  <c r="H8"/>
  <c r="I8"/>
  <c r="J8"/>
  <c r="K8"/>
  <c r="L8"/>
  <c r="M8"/>
  <c r="N8"/>
  <c r="O8"/>
  <c r="B9"/>
  <c r="D9"/>
  <c r="F9"/>
  <c r="H9"/>
  <c r="I9"/>
  <c r="J9"/>
  <c r="K9"/>
  <c r="L9"/>
  <c r="M9"/>
  <c r="N9"/>
  <c r="O9"/>
  <c r="B10"/>
  <c r="D10"/>
  <c r="F10"/>
  <c r="H10"/>
  <c r="I10"/>
  <c r="J10"/>
  <c r="K10"/>
  <c r="L10"/>
  <c r="M10"/>
  <c r="N10"/>
  <c r="O10"/>
  <c r="B11"/>
  <c r="D11"/>
  <c r="F11"/>
  <c r="H11"/>
  <c r="I11"/>
  <c r="J11"/>
  <c r="K11"/>
  <c r="L11"/>
  <c r="M11"/>
  <c r="N11"/>
  <c r="O11"/>
  <c r="B12"/>
  <c r="D12"/>
  <c r="F12"/>
  <c r="H12"/>
  <c r="I12"/>
  <c r="J12"/>
  <c r="K12"/>
  <c r="L12"/>
  <c r="M12"/>
  <c r="N12"/>
  <c r="O12"/>
  <c r="A9"/>
  <c r="A10"/>
  <c r="A11"/>
  <c r="A12"/>
  <c r="A8"/>
  <c r="K116" i="14"/>
  <c r="K115"/>
  <c r="I115"/>
  <c r="I116"/>
  <c r="H116"/>
  <c r="H115"/>
  <c r="E8" i="17"/>
  <c r="E7"/>
  <c r="E6"/>
  <c r="D12" i="1" s="1"/>
  <c r="C12" i="3" s="1"/>
  <c r="E5" i="17"/>
  <c r="D11" i="1" s="1"/>
  <c r="C11" i="3" s="1"/>
  <c r="E4" i="17"/>
  <c r="D10" i="1" s="1"/>
  <c r="C10" i="3" s="1"/>
  <c r="E3" i="17"/>
  <c r="D9" i="1" s="1"/>
  <c r="C9" i="3" s="1"/>
  <c r="E2" i="17"/>
  <c r="D8" i="1" s="1"/>
  <c r="C8" i="3" s="1"/>
  <c r="C125" i="16" l="1"/>
  <c r="C124"/>
  <c r="C114"/>
  <c r="C107"/>
  <c r="C64"/>
  <c r="C47"/>
  <c r="C10"/>
  <c r="C11"/>
  <c r="C12"/>
  <c r="C13"/>
  <c r="C14"/>
  <c r="C15"/>
  <c r="C16"/>
  <c r="C17"/>
  <c r="C18"/>
  <c r="C19"/>
  <c r="C20"/>
  <c r="C21"/>
  <c r="C22"/>
  <c r="C23"/>
  <c r="C24"/>
  <c r="C25"/>
  <c r="C26"/>
  <c r="C27"/>
  <c r="C28"/>
  <c r="C29"/>
  <c r="C30"/>
  <c r="C31"/>
  <c r="C32"/>
  <c r="C33"/>
  <c r="C34"/>
  <c r="C35"/>
  <c r="C36"/>
  <c r="C37"/>
  <c r="C38"/>
  <c r="C39"/>
  <c r="C40"/>
  <c r="C41"/>
  <c r="C42"/>
  <c r="C43"/>
  <c r="C44"/>
  <c r="C45"/>
  <c r="C46"/>
  <c r="C48"/>
  <c r="C49"/>
  <c r="C50"/>
  <c r="C51"/>
  <c r="C52"/>
  <c r="C53"/>
  <c r="C54"/>
  <c r="C55"/>
  <c r="C56"/>
  <c r="C57"/>
  <c r="C58"/>
  <c r="C59"/>
  <c r="C60"/>
  <c r="C61"/>
  <c r="C62"/>
  <c r="C63"/>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8"/>
  <c r="C109"/>
  <c r="C110"/>
  <c r="C111"/>
  <c r="C112"/>
  <c r="C113"/>
  <c r="C115"/>
  <c r="C116"/>
  <c r="C117"/>
  <c r="C118"/>
  <c r="C119"/>
  <c r="C120"/>
  <c r="C121"/>
  <c r="C122"/>
  <c r="C123"/>
  <c r="C126"/>
  <c r="C127"/>
  <c r="C128"/>
  <c r="C129"/>
  <c r="C130"/>
  <c r="C131"/>
  <c r="C132"/>
  <c r="C133"/>
  <c r="C134"/>
  <c r="C135"/>
  <c r="C136"/>
  <c r="C137"/>
  <c r="C138"/>
  <c r="C139"/>
  <c r="F11" s="1"/>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M5" i="14"/>
  <c r="M6"/>
  <c r="M7"/>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4"/>
  <c r="L5"/>
  <c r="L6"/>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4"/>
  <c r="B41" i="8"/>
  <c r="B42"/>
  <c r="B43"/>
  <c r="B40"/>
  <c r="B32"/>
  <c r="B33"/>
  <c r="B34"/>
  <c r="B31"/>
  <c r="A43" i="9"/>
  <c r="X114" i="8"/>
  <c r="W114"/>
  <c r="V114"/>
  <c r="U114"/>
  <c r="T114"/>
  <c r="S114"/>
  <c r="R114"/>
  <c r="Q114"/>
  <c r="P114"/>
  <c r="O114"/>
  <c r="N114"/>
  <c r="M114"/>
  <c r="L114"/>
  <c r="K114"/>
  <c r="J114"/>
  <c r="I114"/>
  <c r="H114"/>
  <c r="G114"/>
  <c r="F114"/>
  <c r="E114"/>
  <c r="X77"/>
  <c r="W77"/>
  <c r="V77"/>
  <c r="U77"/>
  <c r="T77"/>
  <c r="S77"/>
  <c r="R77"/>
  <c r="Q77"/>
  <c r="P77"/>
  <c r="O77"/>
  <c r="N77"/>
  <c r="M77"/>
  <c r="L77"/>
  <c r="K77"/>
  <c r="J77"/>
  <c r="I77"/>
  <c r="H77"/>
  <c r="G77"/>
  <c r="F77"/>
  <c r="E77"/>
  <c r="X60"/>
  <c r="W60"/>
  <c r="V60"/>
  <c r="U60"/>
  <c r="T60"/>
  <c r="S60"/>
  <c r="R60"/>
  <c r="Q60"/>
  <c r="P60"/>
  <c r="O60"/>
  <c r="N60"/>
  <c r="M60"/>
  <c r="L60"/>
  <c r="K60"/>
  <c r="J60"/>
  <c r="I60"/>
  <c r="H60"/>
  <c r="G60"/>
  <c r="F60"/>
  <c r="E60"/>
  <c r="X96" i="9"/>
  <c r="W96"/>
  <c r="V96"/>
  <c r="U96"/>
  <c r="T96"/>
  <c r="S96"/>
  <c r="R96"/>
  <c r="Q96"/>
  <c r="P96"/>
  <c r="O96"/>
  <c r="N96"/>
  <c r="M96"/>
  <c r="L96"/>
  <c r="K96"/>
  <c r="J96"/>
  <c r="I96"/>
  <c r="H96"/>
  <c r="G96"/>
  <c r="F96"/>
  <c r="E96"/>
  <c r="X59"/>
  <c r="W59"/>
  <c r="V59"/>
  <c r="U59"/>
  <c r="T59"/>
  <c r="S59"/>
  <c r="R59"/>
  <c r="Q59"/>
  <c r="P59"/>
  <c r="O59"/>
  <c r="N59"/>
  <c r="M59"/>
  <c r="L59"/>
  <c r="K59"/>
  <c r="J59"/>
  <c r="I59"/>
  <c r="H59"/>
  <c r="G59"/>
  <c r="F59"/>
  <c r="E59"/>
  <c r="X43"/>
  <c r="W43"/>
  <c r="V43"/>
  <c r="U43"/>
  <c r="T43"/>
  <c r="S43"/>
  <c r="R43"/>
  <c r="Q43"/>
  <c r="P43"/>
  <c r="O43"/>
  <c r="N43"/>
  <c r="M43"/>
  <c r="L43"/>
  <c r="K43"/>
  <c r="J43"/>
  <c r="I43"/>
  <c r="H43"/>
  <c r="G43"/>
  <c r="F43"/>
  <c r="E43"/>
  <c r="M116" i="14" l="1"/>
  <c r="L116"/>
  <c r="L115"/>
  <c r="L117"/>
  <c r="M115"/>
  <c r="M117"/>
  <c r="F134" i="16"/>
  <c r="F115"/>
  <c r="F130"/>
  <c r="F91"/>
  <c r="F135"/>
  <c r="F131"/>
  <c r="F127"/>
  <c r="F123"/>
  <c r="F119"/>
  <c r="F111"/>
  <c r="F107"/>
  <c r="F103"/>
  <c r="F99"/>
  <c r="F95"/>
  <c r="F87"/>
  <c r="F83"/>
  <c r="F79"/>
  <c r="F75"/>
  <c r="F71"/>
  <c r="F67"/>
  <c r="F63"/>
  <c r="F59"/>
  <c r="F47"/>
  <c r="F43"/>
  <c r="F39"/>
  <c r="F35"/>
  <c r="F31"/>
  <c r="F27"/>
  <c r="F23"/>
  <c r="F66"/>
  <c r="F15"/>
  <c r="F10"/>
  <c r="F55"/>
  <c r="F132"/>
  <c r="F124"/>
  <c r="F112"/>
  <c r="F108"/>
  <c r="F96"/>
  <c r="F92"/>
  <c r="F84"/>
  <c r="F80"/>
  <c r="F68"/>
  <c r="F64"/>
  <c r="F56"/>
  <c r="F48"/>
  <c r="F40"/>
  <c r="F36"/>
  <c r="F28"/>
  <c r="F24"/>
  <c r="F19"/>
  <c r="F69"/>
  <c r="F51"/>
  <c r="F113"/>
  <c r="F97"/>
  <c r="F16"/>
  <c r="F18"/>
  <c r="F44"/>
  <c r="F72"/>
  <c r="F100"/>
  <c r="F116"/>
  <c r="F129"/>
  <c r="F50"/>
  <c r="F114"/>
  <c r="F128"/>
  <c r="F76"/>
  <c r="F52"/>
  <c r="F20"/>
  <c r="F12"/>
  <c r="F34"/>
  <c r="F33"/>
  <c r="F98"/>
  <c r="F53"/>
  <c r="F81"/>
  <c r="F17"/>
  <c r="F82"/>
  <c r="F22"/>
  <c r="F32"/>
  <c r="F38"/>
  <c r="F57"/>
  <c r="F60"/>
  <c r="F73"/>
  <c r="F85"/>
  <c r="F88"/>
  <c r="F101"/>
  <c r="F104"/>
  <c r="F117"/>
  <c r="F120"/>
  <c r="F133"/>
  <c r="F136"/>
  <c r="F13"/>
  <c r="F29"/>
  <c r="F45"/>
  <c r="F62"/>
  <c r="F78"/>
  <c r="F94"/>
  <c r="F110"/>
  <c r="F126"/>
  <c r="F26"/>
  <c r="F42"/>
  <c r="F61"/>
  <c r="F89"/>
  <c r="F105"/>
  <c r="F121"/>
  <c r="F137"/>
  <c r="F25"/>
  <c r="F41"/>
  <c r="F58"/>
  <c r="F74"/>
  <c r="F90"/>
  <c r="F106"/>
  <c r="F122"/>
  <c r="F138"/>
  <c r="F14"/>
  <c r="F30"/>
  <c r="F46"/>
  <c r="F49"/>
  <c r="F65"/>
  <c r="F77"/>
  <c r="F93"/>
  <c r="F109"/>
  <c r="F125"/>
  <c r="F21"/>
  <c r="F37"/>
  <c r="F54"/>
  <c r="F70"/>
  <c r="F86"/>
  <c r="F102"/>
  <c r="F118"/>
  <c r="E155"/>
  <c r="D5" l="1"/>
  <c r="F10" i="1"/>
  <c r="E10" i="3" s="1"/>
  <c r="F9" i="1"/>
  <c r="E9" i="3" s="1"/>
  <c r="F8" i="1"/>
  <c r="E8" i="3" s="1"/>
  <c r="F12" i="1"/>
  <c r="E12" i="3" s="1"/>
  <c r="F11" i="1"/>
  <c r="E11" i="3" s="1"/>
  <c r="D4" i="16"/>
  <c r="D6"/>
  <c r="D2"/>
  <c r="D3"/>
  <c r="M118" i="14"/>
  <c r="L118"/>
  <c r="F3" i="16" l="1"/>
  <c r="E3"/>
  <c r="X140" i="9"/>
  <c r="W140"/>
  <c r="V140"/>
  <c r="U140"/>
  <c r="T140"/>
  <c r="S140"/>
  <c r="R140"/>
  <c r="Q140"/>
  <c r="P140"/>
  <c r="O140"/>
  <c r="N140"/>
  <c r="M140"/>
  <c r="L140"/>
  <c r="K140"/>
  <c r="J140"/>
  <c r="I140"/>
  <c r="H140"/>
  <c r="G140"/>
  <c r="F140"/>
  <c r="E140"/>
  <c r="X12" i="8"/>
  <c r="W12"/>
  <c r="V12"/>
  <c r="U12"/>
  <c r="T12"/>
  <c r="S12"/>
  <c r="R12"/>
  <c r="Q12"/>
  <c r="P12"/>
  <c r="O12"/>
  <c r="N12"/>
  <c r="M12"/>
  <c r="L12"/>
  <c r="K12"/>
  <c r="J12"/>
  <c r="I12"/>
  <c r="H12"/>
  <c r="G12"/>
  <c r="F12"/>
  <c r="E12"/>
  <c r="E21" l="1"/>
  <c r="E18" i="9" l="1"/>
  <c r="C39" i="8"/>
  <c r="A11" i="9"/>
  <c r="E25" i="8"/>
  <c r="E24"/>
  <c r="E23"/>
  <c r="E22"/>
  <c r="C43"/>
  <c r="C42"/>
  <c r="C41"/>
  <c r="C40"/>
  <c r="A20"/>
  <c r="A11"/>
  <c r="X21"/>
  <c r="W21"/>
  <c r="V21"/>
  <c r="U21"/>
  <c r="T21"/>
  <c r="S21"/>
  <c r="R21"/>
  <c r="Q21"/>
  <c r="P21"/>
  <c r="O21"/>
  <c r="N21"/>
  <c r="M21"/>
  <c r="L21"/>
  <c r="K21"/>
  <c r="J21"/>
  <c r="I21"/>
  <c r="H21"/>
  <c r="G21"/>
  <c r="F21"/>
  <c r="H5" i="18"/>
  <c r="G5"/>
  <c r="C144" i="9"/>
  <c r="C143"/>
  <c r="C142"/>
  <c r="C141"/>
  <c r="C96"/>
  <c r="X95"/>
  <c r="W95"/>
  <c r="V95"/>
  <c r="U95"/>
  <c r="T95"/>
  <c r="S95"/>
  <c r="R95"/>
  <c r="Q95"/>
  <c r="P95"/>
  <c r="O95"/>
  <c r="N95"/>
  <c r="M95"/>
  <c r="L95"/>
  <c r="K95"/>
  <c r="J95"/>
  <c r="I95"/>
  <c r="H95"/>
  <c r="G95"/>
  <c r="F95"/>
  <c r="E95"/>
  <c r="X58"/>
  <c r="W58"/>
  <c r="V58"/>
  <c r="U58"/>
  <c r="T58"/>
  <c r="S58"/>
  <c r="R58"/>
  <c r="Q58"/>
  <c r="P58"/>
  <c r="O58"/>
  <c r="N58"/>
  <c r="M58"/>
  <c r="L58"/>
  <c r="K58"/>
  <c r="J58"/>
  <c r="I58"/>
  <c r="H58"/>
  <c r="G58"/>
  <c r="F58"/>
  <c r="E58"/>
  <c r="C44"/>
  <c r="X42"/>
  <c r="W42"/>
  <c r="V42"/>
  <c r="U42"/>
  <c r="T42"/>
  <c r="S42"/>
  <c r="R42"/>
  <c r="Q42"/>
  <c r="P42"/>
  <c r="O42"/>
  <c r="N42"/>
  <c r="M42"/>
  <c r="L42"/>
  <c r="K42"/>
  <c r="J42"/>
  <c r="I42"/>
  <c r="H42"/>
  <c r="G42"/>
  <c r="F42"/>
  <c r="E42"/>
  <c r="C41"/>
  <c r="C36"/>
  <c r="C32"/>
  <c r="C25"/>
  <c r="C24"/>
  <c r="C34" s="1"/>
  <c r="C22"/>
  <c r="X12"/>
  <c r="W12"/>
  <c r="V12"/>
  <c r="U12"/>
  <c r="T12"/>
  <c r="S12"/>
  <c r="R12"/>
  <c r="Q12"/>
  <c r="P12"/>
  <c r="O12"/>
  <c r="N12"/>
  <c r="M12"/>
  <c r="L12"/>
  <c r="K12"/>
  <c r="J12"/>
  <c r="I12"/>
  <c r="H12"/>
  <c r="G12"/>
  <c r="F12"/>
  <c r="E12"/>
  <c r="C9"/>
  <c r="X113" i="8"/>
  <c r="W113"/>
  <c r="V113"/>
  <c r="U113"/>
  <c r="T113"/>
  <c r="S113"/>
  <c r="R113"/>
  <c r="Q113"/>
  <c r="P113"/>
  <c r="O113"/>
  <c r="N113"/>
  <c r="M113"/>
  <c r="L113"/>
  <c r="K113"/>
  <c r="J113"/>
  <c r="I113"/>
  <c r="H113"/>
  <c r="G113"/>
  <c r="F113"/>
  <c r="E113"/>
  <c r="X76"/>
  <c r="W76"/>
  <c r="V76"/>
  <c r="U76"/>
  <c r="T76"/>
  <c r="S76"/>
  <c r="R76"/>
  <c r="Q76"/>
  <c r="P76"/>
  <c r="O76"/>
  <c r="N76"/>
  <c r="M76"/>
  <c r="L76"/>
  <c r="K76"/>
  <c r="J76"/>
  <c r="I76"/>
  <c r="H76"/>
  <c r="G76"/>
  <c r="F76"/>
  <c r="E76"/>
  <c r="H3" i="18"/>
  <c r="X59" i="8"/>
  <c r="W59"/>
  <c r="V59"/>
  <c r="U59"/>
  <c r="T59"/>
  <c r="S59"/>
  <c r="R59"/>
  <c r="Q59"/>
  <c r="P59"/>
  <c r="O59"/>
  <c r="N59"/>
  <c r="M59"/>
  <c r="L59"/>
  <c r="K59"/>
  <c r="J59"/>
  <c r="I59"/>
  <c r="H59"/>
  <c r="G59"/>
  <c r="F59"/>
  <c r="E59"/>
  <c r="C58"/>
  <c r="C52"/>
  <c r="C51"/>
  <c r="C50"/>
  <c r="C49"/>
  <c r="C34"/>
  <c r="C33"/>
  <c r="C32"/>
  <c r="C31"/>
  <c r="C30"/>
  <c r="C9"/>
  <c r="A41" l="1"/>
  <c r="A40"/>
  <c r="A42"/>
  <c r="D113"/>
  <c r="G6" i="18"/>
  <c r="G3"/>
  <c r="H6"/>
  <c r="G4"/>
  <c r="H4"/>
  <c r="A38" i="8"/>
  <c r="C33" i="9"/>
  <c r="A21"/>
  <c r="A31"/>
  <c r="H18"/>
  <c r="L18"/>
  <c r="P18"/>
  <c r="T18"/>
  <c r="X18"/>
  <c r="F18"/>
  <c r="N18"/>
  <c r="V18"/>
  <c r="G18"/>
  <c r="K18"/>
  <c r="O18"/>
  <c r="S18"/>
  <c r="W18"/>
  <c r="M18"/>
  <c r="U18"/>
  <c r="AA15"/>
  <c r="I18"/>
  <c r="Q18"/>
  <c r="AA13"/>
  <c r="AA16"/>
  <c r="J18"/>
  <c r="R18"/>
  <c r="AA14"/>
  <c r="A29" i="8"/>
  <c r="C48"/>
  <c r="A47" s="1"/>
  <c r="AA18" i="9" l="1"/>
  <c r="W82" l="1"/>
  <c r="W73"/>
  <c r="W74"/>
  <c r="W83"/>
  <c r="W63"/>
  <c r="W81"/>
  <c r="W72"/>
  <c r="W90"/>
  <c r="W62"/>
  <c r="W80"/>
  <c r="W66"/>
  <c r="W87"/>
  <c r="W85"/>
  <c r="W65"/>
  <c r="W70"/>
  <c r="W76"/>
  <c r="W68"/>
  <c r="W64"/>
  <c r="W61"/>
  <c r="W67"/>
  <c r="W60"/>
  <c r="W97" s="1"/>
  <c r="W75"/>
  <c r="W112" s="1"/>
  <c r="W78"/>
  <c r="W84"/>
  <c r="W89"/>
  <c r="W69"/>
  <c r="W71"/>
  <c r="W79"/>
  <c r="W88"/>
  <c r="W77"/>
  <c r="W86"/>
  <c r="T60"/>
  <c r="T97" s="1"/>
  <c r="T71"/>
  <c r="T90"/>
  <c r="T66"/>
  <c r="T76"/>
  <c r="T68"/>
  <c r="T74"/>
  <c r="T84"/>
  <c r="T89"/>
  <c r="T75"/>
  <c r="T78"/>
  <c r="T64"/>
  <c r="T63"/>
  <c r="T80"/>
  <c r="T81"/>
  <c r="T77"/>
  <c r="T79"/>
  <c r="T62"/>
  <c r="T85"/>
  <c r="T122" s="1"/>
  <c r="T83"/>
  <c r="T61"/>
  <c r="T69"/>
  <c r="T73"/>
  <c r="T70"/>
  <c r="T72"/>
  <c r="T87"/>
  <c r="T86"/>
  <c r="T65"/>
  <c r="T82"/>
  <c r="T67"/>
  <c r="T88"/>
  <c r="G75"/>
  <c r="G83"/>
  <c r="G71"/>
  <c r="G63"/>
  <c r="G87"/>
  <c r="G85"/>
  <c r="G66"/>
  <c r="G84"/>
  <c r="G81"/>
  <c r="G65"/>
  <c r="G61"/>
  <c r="G60"/>
  <c r="G97" s="1"/>
  <c r="G70"/>
  <c r="G62"/>
  <c r="G88"/>
  <c r="G89"/>
  <c r="G78"/>
  <c r="G86"/>
  <c r="G123" s="1"/>
  <c r="G72"/>
  <c r="G109" s="1"/>
  <c r="G79"/>
  <c r="G69"/>
  <c r="G74"/>
  <c r="G80"/>
  <c r="G90"/>
  <c r="G67"/>
  <c r="G76"/>
  <c r="G73"/>
  <c r="G110" s="1"/>
  <c r="G64"/>
  <c r="G101" s="1"/>
  <c r="G82"/>
  <c r="G68"/>
  <c r="G77"/>
  <c r="X89"/>
  <c r="X84"/>
  <c r="X86"/>
  <c r="X83"/>
  <c r="X61"/>
  <c r="X64"/>
  <c r="X79"/>
  <c r="X60"/>
  <c r="X97" s="1"/>
  <c r="X76"/>
  <c r="X90"/>
  <c r="X74"/>
  <c r="X80"/>
  <c r="X69"/>
  <c r="X68"/>
  <c r="X63"/>
  <c r="X75"/>
  <c r="X66"/>
  <c r="X78"/>
  <c r="X81"/>
  <c r="X82"/>
  <c r="X62"/>
  <c r="X67"/>
  <c r="X73"/>
  <c r="X88"/>
  <c r="X65"/>
  <c r="X70"/>
  <c r="X71"/>
  <c r="X72"/>
  <c r="X85"/>
  <c r="X77"/>
  <c r="X87"/>
  <c r="F74"/>
  <c r="F82"/>
  <c r="F81"/>
  <c r="F83"/>
  <c r="F87"/>
  <c r="F71"/>
  <c r="F73"/>
  <c r="F75"/>
  <c r="F77"/>
  <c r="F89"/>
  <c r="F66"/>
  <c r="F84"/>
  <c r="F90"/>
  <c r="F72"/>
  <c r="F69"/>
  <c r="F65"/>
  <c r="F79"/>
  <c r="F64"/>
  <c r="F60"/>
  <c r="F97" s="1"/>
  <c r="F80"/>
  <c r="F86"/>
  <c r="F78"/>
  <c r="F85"/>
  <c r="F63"/>
  <c r="F62"/>
  <c r="F88"/>
  <c r="F68"/>
  <c r="F70"/>
  <c r="F76"/>
  <c r="F67"/>
  <c r="F104" s="1"/>
  <c r="F61"/>
  <c r="H73"/>
  <c r="H87"/>
  <c r="H71"/>
  <c r="H74"/>
  <c r="H65"/>
  <c r="H85"/>
  <c r="H70"/>
  <c r="H84"/>
  <c r="H75"/>
  <c r="H89"/>
  <c r="H62"/>
  <c r="H60"/>
  <c r="H97" s="1"/>
  <c r="H66"/>
  <c r="H82"/>
  <c r="H86"/>
  <c r="H79"/>
  <c r="H72"/>
  <c r="H77"/>
  <c r="H63"/>
  <c r="H100" s="1"/>
  <c r="H69"/>
  <c r="H76"/>
  <c r="H61"/>
  <c r="H67"/>
  <c r="H80"/>
  <c r="H78"/>
  <c r="H64"/>
  <c r="H90"/>
  <c r="H81"/>
  <c r="H68"/>
  <c r="H83"/>
  <c r="H88"/>
  <c r="U86"/>
  <c r="U84"/>
  <c r="U81"/>
  <c r="U60"/>
  <c r="U97" s="1"/>
  <c r="U71"/>
  <c r="U90"/>
  <c r="U75"/>
  <c r="U82"/>
  <c r="U73"/>
  <c r="U76"/>
  <c r="U61"/>
  <c r="U62"/>
  <c r="U63"/>
  <c r="U69"/>
  <c r="U89"/>
  <c r="U74"/>
  <c r="U64"/>
  <c r="U78"/>
  <c r="U72"/>
  <c r="U87"/>
  <c r="U85"/>
  <c r="U77"/>
  <c r="U114" s="1"/>
  <c r="U66"/>
  <c r="U83"/>
  <c r="U120" s="1"/>
  <c r="U88"/>
  <c r="U80"/>
  <c r="U70"/>
  <c r="U79"/>
  <c r="U67"/>
  <c r="U65"/>
  <c r="U68"/>
  <c r="S62"/>
  <c r="S85"/>
  <c r="S78"/>
  <c r="S79"/>
  <c r="S66"/>
  <c r="S70"/>
  <c r="S63"/>
  <c r="S67"/>
  <c r="S76"/>
  <c r="S72"/>
  <c r="S83"/>
  <c r="S89"/>
  <c r="S87"/>
  <c r="S81"/>
  <c r="S88"/>
  <c r="S73"/>
  <c r="S64"/>
  <c r="S86"/>
  <c r="S90"/>
  <c r="S84"/>
  <c r="S77"/>
  <c r="S60"/>
  <c r="S97" s="1"/>
  <c r="S75"/>
  <c r="S74"/>
  <c r="S82"/>
  <c r="S119" s="1"/>
  <c r="S71"/>
  <c r="S61"/>
  <c r="S65"/>
  <c r="S68"/>
  <c r="S80"/>
  <c r="S69"/>
  <c r="M72"/>
  <c r="M73"/>
  <c r="M90"/>
  <c r="M65"/>
  <c r="M63"/>
  <c r="M60"/>
  <c r="M97" s="1"/>
  <c r="M62"/>
  <c r="M83"/>
  <c r="M70"/>
  <c r="M85"/>
  <c r="M76"/>
  <c r="M64"/>
  <c r="M69"/>
  <c r="M82"/>
  <c r="M87"/>
  <c r="M77"/>
  <c r="M68"/>
  <c r="M67"/>
  <c r="M74"/>
  <c r="M79"/>
  <c r="M86"/>
  <c r="M88"/>
  <c r="M61"/>
  <c r="M78"/>
  <c r="M80"/>
  <c r="M66"/>
  <c r="M81"/>
  <c r="M84"/>
  <c r="M75"/>
  <c r="M71"/>
  <c r="M89"/>
  <c r="I84"/>
  <c r="I61"/>
  <c r="I80"/>
  <c r="I89"/>
  <c r="I60"/>
  <c r="I97" s="1"/>
  <c r="I76"/>
  <c r="I65"/>
  <c r="I79"/>
  <c r="I70"/>
  <c r="I64"/>
  <c r="I88"/>
  <c r="I82"/>
  <c r="I71"/>
  <c r="I72"/>
  <c r="I86"/>
  <c r="I87"/>
  <c r="I83"/>
  <c r="I68"/>
  <c r="I81"/>
  <c r="I118" s="1"/>
  <c r="I77"/>
  <c r="I73"/>
  <c r="I62"/>
  <c r="I63"/>
  <c r="I78"/>
  <c r="I67"/>
  <c r="I74"/>
  <c r="I66"/>
  <c r="I69"/>
  <c r="I90"/>
  <c r="I75"/>
  <c r="I85"/>
  <c r="I122" s="1"/>
  <c r="L79"/>
  <c r="L62"/>
  <c r="L66"/>
  <c r="L83"/>
  <c r="L87"/>
  <c r="L84"/>
  <c r="L61"/>
  <c r="L60"/>
  <c r="L97" s="1"/>
  <c r="L85"/>
  <c r="L70"/>
  <c r="L76"/>
  <c r="L90"/>
  <c r="L72"/>
  <c r="L74"/>
  <c r="L69"/>
  <c r="L77"/>
  <c r="L63"/>
  <c r="L73"/>
  <c r="L71"/>
  <c r="L67"/>
  <c r="L64"/>
  <c r="L75"/>
  <c r="L82"/>
  <c r="L88"/>
  <c r="L86"/>
  <c r="L65"/>
  <c r="L68"/>
  <c r="L78"/>
  <c r="L115" s="1"/>
  <c r="L89"/>
  <c r="L80"/>
  <c r="L81"/>
  <c r="E81" i="8"/>
  <c r="E88"/>
  <c r="E92"/>
  <c r="E101"/>
  <c r="E80"/>
  <c r="E97"/>
  <c r="E102"/>
  <c r="E108"/>
  <c r="E91"/>
  <c r="E86"/>
  <c r="E99"/>
  <c r="E93"/>
  <c r="E87"/>
  <c r="E98"/>
  <c r="E84"/>
  <c r="E82"/>
  <c r="E79"/>
  <c r="E96"/>
  <c r="E106"/>
  <c r="E89"/>
  <c r="E103"/>
  <c r="E95"/>
  <c r="E94"/>
  <c r="E90"/>
  <c r="E107"/>
  <c r="E78"/>
  <c r="E115" s="1"/>
  <c r="E100"/>
  <c r="E137" s="1"/>
  <c r="E104"/>
  <c r="E85"/>
  <c r="E105"/>
  <c r="E83"/>
  <c r="E78" i="9"/>
  <c r="E71"/>
  <c r="E83"/>
  <c r="E60"/>
  <c r="E97" s="1"/>
  <c r="E70"/>
  <c r="E73"/>
  <c r="E61"/>
  <c r="E66"/>
  <c r="E69"/>
  <c r="E86"/>
  <c r="E77"/>
  <c r="E88"/>
  <c r="E65"/>
  <c r="E64"/>
  <c r="E76"/>
  <c r="E67"/>
  <c r="E85"/>
  <c r="E82"/>
  <c r="E75"/>
  <c r="E84"/>
  <c r="E81"/>
  <c r="E72"/>
  <c r="E80"/>
  <c r="E79"/>
  <c r="E89"/>
  <c r="E63"/>
  <c r="E87"/>
  <c r="E62"/>
  <c r="E74"/>
  <c r="E90"/>
  <c r="E68"/>
  <c r="K69"/>
  <c r="K63"/>
  <c r="K86"/>
  <c r="K76"/>
  <c r="K81"/>
  <c r="K70"/>
  <c r="K87"/>
  <c r="K84"/>
  <c r="K64"/>
  <c r="K80"/>
  <c r="K90"/>
  <c r="K65"/>
  <c r="K74"/>
  <c r="K71"/>
  <c r="K73"/>
  <c r="K88"/>
  <c r="K79"/>
  <c r="K62"/>
  <c r="K61"/>
  <c r="K85"/>
  <c r="K78"/>
  <c r="K60"/>
  <c r="K97" s="1"/>
  <c r="K68"/>
  <c r="K82"/>
  <c r="K66"/>
  <c r="K75"/>
  <c r="K77"/>
  <c r="K83"/>
  <c r="K72"/>
  <c r="K67"/>
  <c r="K89"/>
  <c r="K126" s="1"/>
  <c r="Q65"/>
  <c r="Q70"/>
  <c r="Q88"/>
  <c r="Q72"/>
  <c r="Q87"/>
  <c r="Q60"/>
  <c r="Q97" s="1"/>
  <c r="Q76"/>
  <c r="Q66"/>
  <c r="Q82"/>
  <c r="Q79"/>
  <c r="Q85"/>
  <c r="Q86"/>
  <c r="Q81"/>
  <c r="Q69"/>
  <c r="Q71"/>
  <c r="Q61"/>
  <c r="Q89"/>
  <c r="Q83"/>
  <c r="Q75"/>
  <c r="Q90"/>
  <c r="Q68"/>
  <c r="Q62"/>
  <c r="Q84"/>
  <c r="Q77"/>
  <c r="Q74"/>
  <c r="Q64"/>
  <c r="Q63"/>
  <c r="Q78"/>
  <c r="Q73"/>
  <c r="Q67"/>
  <c r="Q80"/>
  <c r="O71"/>
  <c r="O70"/>
  <c r="O80"/>
  <c r="O81"/>
  <c r="O69"/>
  <c r="O68"/>
  <c r="O79"/>
  <c r="O72"/>
  <c r="O66"/>
  <c r="O88"/>
  <c r="O90"/>
  <c r="O63"/>
  <c r="O89"/>
  <c r="O87"/>
  <c r="O76"/>
  <c r="O74"/>
  <c r="O86"/>
  <c r="O73"/>
  <c r="O75"/>
  <c r="O82"/>
  <c r="O65"/>
  <c r="O83"/>
  <c r="O64"/>
  <c r="O62"/>
  <c r="O84"/>
  <c r="O77"/>
  <c r="O67"/>
  <c r="O61"/>
  <c r="O60"/>
  <c r="O97" s="1"/>
  <c r="O78"/>
  <c r="O85"/>
  <c r="J81"/>
  <c r="J69"/>
  <c r="J83"/>
  <c r="J63"/>
  <c r="J89"/>
  <c r="J62"/>
  <c r="J66"/>
  <c r="J76"/>
  <c r="J74"/>
  <c r="J79"/>
  <c r="J60"/>
  <c r="J97" s="1"/>
  <c r="J77"/>
  <c r="J78"/>
  <c r="J88"/>
  <c r="J68"/>
  <c r="J70"/>
  <c r="J61"/>
  <c r="J67"/>
  <c r="J86"/>
  <c r="J84"/>
  <c r="J85"/>
  <c r="J75"/>
  <c r="J90"/>
  <c r="J87"/>
  <c r="J71"/>
  <c r="J72"/>
  <c r="J65"/>
  <c r="J64"/>
  <c r="J82"/>
  <c r="J80"/>
  <c r="J73"/>
  <c r="P64"/>
  <c r="P63"/>
  <c r="P81"/>
  <c r="P86"/>
  <c r="P68"/>
  <c r="P82"/>
  <c r="P79"/>
  <c r="P62"/>
  <c r="P65"/>
  <c r="P102" s="1"/>
  <c r="P74"/>
  <c r="P85"/>
  <c r="P77"/>
  <c r="P61"/>
  <c r="P70"/>
  <c r="P84"/>
  <c r="P71"/>
  <c r="P69"/>
  <c r="P106" s="1"/>
  <c r="P88"/>
  <c r="P73"/>
  <c r="P83"/>
  <c r="P67"/>
  <c r="P90"/>
  <c r="P87"/>
  <c r="P75"/>
  <c r="P66"/>
  <c r="P76"/>
  <c r="P78"/>
  <c r="P80"/>
  <c r="P60"/>
  <c r="P97" s="1"/>
  <c r="P72"/>
  <c r="P89"/>
  <c r="R61"/>
  <c r="R79"/>
  <c r="R81"/>
  <c r="R63"/>
  <c r="R68"/>
  <c r="R82"/>
  <c r="R62"/>
  <c r="R87"/>
  <c r="R78"/>
  <c r="R65"/>
  <c r="R75"/>
  <c r="R70"/>
  <c r="R80"/>
  <c r="R84"/>
  <c r="R86"/>
  <c r="R64"/>
  <c r="R77"/>
  <c r="R66"/>
  <c r="R83"/>
  <c r="R74"/>
  <c r="R72"/>
  <c r="R71"/>
  <c r="R89"/>
  <c r="R88"/>
  <c r="R76"/>
  <c r="R90"/>
  <c r="R67"/>
  <c r="R60"/>
  <c r="R97" s="1"/>
  <c r="R69"/>
  <c r="R85"/>
  <c r="R73"/>
  <c r="N64"/>
  <c r="N72"/>
  <c r="N76"/>
  <c r="N86"/>
  <c r="N83"/>
  <c r="N88"/>
  <c r="N77"/>
  <c r="N75"/>
  <c r="N60"/>
  <c r="N97" s="1"/>
  <c r="N71"/>
  <c r="N68"/>
  <c r="N61"/>
  <c r="N89"/>
  <c r="N67"/>
  <c r="N79"/>
  <c r="N90"/>
  <c r="N85"/>
  <c r="N82"/>
  <c r="N81"/>
  <c r="N63"/>
  <c r="N74"/>
  <c r="N87"/>
  <c r="N69"/>
  <c r="N106" s="1"/>
  <c r="N66"/>
  <c r="N70"/>
  <c r="N80"/>
  <c r="N62"/>
  <c r="N73"/>
  <c r="N65"/>
  <c r="N84"/>
  <c r="N78"/>
  <c r="V81"/>
  <c r="V71"/>
  <c r="V82"/>
  <c r="V84"/>
  <c r="V61"/>
  <c r="V64"/>
  <c r="V78"/>
  <c r="V85"/>
  <c r="V72"/>
  <c r="V69"/>
  <c r="V89"/>
  <c r="V68"/>
  <c r="V77"/>
  <c r="V87"/>
  <c r="V70"/>
  <c r="V83"/>
  <c r="V90"/>
  <c r="V86"/>
  <c r="V66"/>
  <c r="V88"/>
  <c r="V63"/>
  <c r="V80"/>
  <c r="V73"/>
  <c r="V67"/>
  <c r="V76"/>
  <c r="V65"/>
  <c r="V102" s="1"/>
  <c r="V62"/>
  <c r="V75"/>
  <c r="V60"/>
  <c r="V97" s="1"/>
  <c r="V74"/>
  <c r="V79"/>
  <c r="P109" l="1"/>
  <c r="M112"/>
  <c r="S102"/>
  <c r="S104"/>
  <c r="T104"/>
  <c r="S114"/>
  <c r="E126" i="8"/>
  <c r="R117" i="9"/>
  <c r="E105"/>
  <c r="U122"/>
  <c r="T114"/>
  <c r="J127"/>
  <c r="I106"/>
  <c r="I114"/>
  <c r="S117"/>
  <c r="F122"/>
  <c r="J107"/>
  <c r="O104"/>
  <c r="K109"/>
  <c r="K101"/>
  <c r="E120" i="8"/>
  <c r="F112" i="9"/>
  <c r="V111"/>
  <c r="I108"/>
  <c r="E127" i="8"/>
  <c r="E139"/>
  <c r="I115" i="9"/>
  <c r="G127"/>
  <c r="O112"/>
  <c r="E142" i="8"/>
  <c r="E131"/>
  <c r="E121"/>
  <c r="E118"/>
  <c r="E136"/>
  <c r="E140"/>
  <c r="E122"/>
  <c r="E132"/>
  <c r="E135"/>
  <c r="E138"/>
  <c r="E141"/>
  <c r="E130"/>
  <c r="E145"/>
  <c r="E143"/>
  <c r="E144"/>
  <c r="E133"/>
  <c r="E123"/>
  <c r="E119"/>
  <c r="E117"/>
  <c r="E125"/>
  <c r="E124"/>
  <c r="E128"/>
  <c r="E134"/>
  <c r="E129"/>
  <c r="N114" i="9"/>
  <c r="K124"/>
  <c r="P113"/>
  <c r="O121"/>
  <c r="Q115"/>
  <c r="H113"/>
  <c r="J117"/>
  <c r="L101"/>
  <c r="I112"/>
  <c r="V122"/>
  <c r="O115"/>
  <c r="Q104"/>
  <c r="K120"/>
  <c r="L112"/>
  <c r="X118"/>
  <c r="P126"/>
  <c r="R110"/>
  <c r="R107"/>
  <c r="P112"/>
  <c r="P120"/>
  <c r="P108"/>
  <c r="F125"/>
  <c r="W114"/>
  <c r="J101"/>
  <c r="J114"/>
  <c r="I99"/>
  <c r="S101"/>
  <c r="H104"/>
  <c r="T98"/>
  <c r="L105"/>
  <c r="L108"/>
  <c r="L122"/>
  <c r="M100"/>
  <c r="U116"/>
  <c r="U119"/>
  <c r="I116"/>
  <c r="S113"/>
  <c r="W120"/>
  <c r="F123"/>
  <c r="N110"/>
  <c r="N126"/>
  <c r="N120"/>
  <c r="R126"/>
  <c r="R120"/>
  <c r="R98"/>
  <c r="P99"/>
  <c r="J121"/>
  <c r="J99"/>
  <c r="O126"/>
  <c r="O103"/>
  <c r="O106"/>
  <c r="O108"/>
  <c r="Q127"/>
  <c r="Q103"/>
  <c r="K99"/>
  <c r="R101"/>
  <c r="P123"/>
  <c r="J111"/>
  <c r="O119"/>
  <c r="Q123"/>
  <c r="Q109"/>
  <c r="K117"/>
  <c r="K123"/>
  <c r="I111"/>
  <c r="I119"/>
  <c r="M115"/>
  <c r="S122"/>
  <c r="H99"/>
  <c r="V117"/>
  <c r="V123"/>
  <c r="V106"/>
  <c r="R115"/>
  <c r="R119"/>
  <c r="P101"/>
  <c r="E125"/>
  <c r="L124"/>
  <c r="L116"/>
  <c r="F106"/>
  <c r="F103"/>
  <c r="F110"/>
  <c r="X122"/>
  <c r="X102"/>
  <c r="X106"/>
  <c r="X116"/>
  <c r="G115"/>
  <c r="G124"/>
  <c r="G112"/>
  <c r="T124"/>
  <c r="T101"/>
  <c r="T121"/>
  <c r="W103"/>
  <c r="W127"/>
  <c r="R104"/>
  <c r="J124"/>
  <c r="J106"/>
  <c r="O101"/>
  <c r="K108"/>
  <c r="I124"/>
  <c r="I126"/>
  <c r="M121"/>
  <c r="M109"/>
  <c r="S111"/>
  <c r="U124"/>
  <c r="U99"/>
  <c r="H120"/>
  <c r="H123"/>
  <c r="V126"/>
  <c r="O113"/>
  <c r="O116"/>
  <c r="K102"/>
  <c r="K121"/>
  <c r="I105"/>
  <c r="M103"/>
  <c r="M99"/>
  <c r="S127"/>
  <c r="S100"/>
  <c r="U106"/>
  <c r="U113"/>
  <c r="U127"/>
  <c r="H115"/>
  <c r="H109"/>
  <c r="M126"/>
  <c r="M123"/>
  <c r="M105"/>
  <c r="S124"/>
  <c r="U111"/>
  <c r="H107"/>
  <c r="H111"/>
  <c r="V99"/>
  <c r="V107"/>
  <c r="V115"/>
  <c r="N118"/>
  <c r="Q106"/>
  <c r="K114"/>
  <c r="K105"/>
  <c r="K125"/>
  <c r="K118"/>
  <c r="E121"/>
  <c r="V101"/>
  <c r="E127"/>
  <c r="E112"/>
  <c r="E115"/>
  <c r="L118"/>
  <c r="U101"/>
  <c r="H117"/>
  <c r="V110"/>
  <c r="V103"/>
  <c r="V119"/>
  <c r="N121"/>
  <c r="N105"/>
  <c r="O120"/>
  <c r="O127"/>
  <c r="Q110"/>
  <c r="Q99"/>
  <c r="Q120"/>
  <c r="Q116"/>
  <c r="N115"/>
  <c r="N103"/>
  <c r="N100"/>
  <c r="N127"/>
  <c r="N98"/>
  <c r="N112"/>
  <c r="N123"/>
  <c r="R122"/>
  <c r="R103"/>
  <c r="R112"/>
  <c r="R100"/>
  <c r="P103"/>
  <c r="P116"/>
  <c r="P118"/>
  <c r="J110"/>
  <c r="J123"/>
  <c r="J105"/>
  <c r="J126"/>
  <c r="J118"/>
  <c r="O111"/>
  <c r="O100"/>
  <c r="Q125"/>
  <c r="K111"/>
  <c r="E99"/>
  <c r="E116"/>
  <c r="E118"/>
  <c r="E122"/>
  <c r="E102"/>
  <c r="E110"/>
  <c r="I109"/>
  <c r="I101"/>
  <c r="I98"/>
  <c r="M111"/>
  <c r="S108"/>
  <c r="S120"/>
  <c r="S116"/>
  <c r="U102"/>
  <c r="H118"/>
  <c r="H103"/>
  <c r="F102"/>
  <c r="X120"/>
  <c r="G102"/>
  <c r="G122"/>
  <c r="T110"/>
  <c r="T120"/>
  <c r="T100"/>
  <c r="W113"/>
  <c r="L126"/>
  <c r="L100"/>
  <c r="L113"/>
  <c r="L98"/>
  <c r="I104"/>
  <c r="I123"/>
  <c r="M118"/>
  <c r="M98"/>
  <c r="M120"/>
  <c r="S106"/>
  <c r="S98"/>
  <c r="S110"/>
  <c r="U105"/>
  <c r="U109"/>
  <c r="U126"/>
  <c r="U123"/>
  <c r="H98"/>
  <c r="H126"/>
  <c r="H122"/>
  <c r="F107"/>
  <c r="F100"/>
  <c r="F116"/>
  <c r="F127"/>
  <c r="F114"/>
  <c r="F119"/>
  <c r="X124"/>
  <c r="X108"/>
  <c r="X110"/>
  <c r="X100"/>
  <c r="X117"/>
  <c r="X113"/>
  <c r="X98"/>
  <c r="X126"/>
  <c r="G105"/>
  <c r="G117"/>
  <c r="G125"/>
  <c r="G98"/>
  <c r="G103"/>
  <c r="G108"/>
  <c r="T102"/>
  <c r="T107"/>
  <c r="T116"/>
  <c r="T112"/>
  <c r="T105"/>
  <c r="W116"/>
  <c r="W105"/>
  <c r="W122"/>
  <c r="W99"/>
  <c r="W118"/>
  <c r="W110"/>
  <c r="Y66"/>
  <c r="Y61"/>
  <c r="Y62"/>
  <c r="Y76"/>
  <c r="Y83"/>
  <c r="Y60"/>
  <c r="Y97" s="1"/>
  <c r="Y74"/>
  <c r="Y73"/>
  <c r="Y64"/>
  <c r="Y63"/>
  <c r="Y84"/>
  <c r="Y85"/>
  <c r="Y71"/>
  <c r="Y87"/>
  <c r="Y77"/>
  <c r="Y82"/>
  <c r="Y78"/>
  <c r="Y88"/>
  <c r="Y75"/>
  <c r="Y68"/>
  <c r="Y65"/>
  <c r="Y67"/>
  <c r="Y81"/>
  <c r="Y89"/>
  <c r="Y80"/>
  <c r="Y79"/>
  <c r="Y90"/>
  <c r="Y72"/>
  <c r="Y86"/>
  <c r="Y70"/>
  <c r="Y69"/>
  <c r="R105"/>
  <c r="P114"/>
  <c r="O117"/>
  <c r="Q111"/>
  <c r="Q107"/>
  <c r="K106"/>
  <c r="E123"/>
  <c r="N107"/>
  <c r="N111"/>
  <c r="N122"/>
  <c r="N101"/>
  <c r="R125"/>
  <c r="R111"/>
  <c r="R116"/>
  <c r="P115"/>
  <c r="P104"/>
  <c r="P98"/>
  <c r="P105"/>
  <c r="J119"/>
  <c r="J108"/>
  <c r="J122"/>
  <c r="J98"/>
  <c r="J115"/>
  <c r="J103"/>
  <c r="J120"/>
  <c r="O114"/>
  <c r="O109"/>
  <c r="O118"/>
  <c r="Q101"/>
  <c r="Q112"/>
  <c r="Q108"/>
  <c r="Q122"/>
  <c r="Q113"/>
  <c r="V112"/>
  <c r="V113"/>
  <c r="V100"/>
  <c r="V127"/>
  <c r="V114"/>
  <c r="V109"/>
  <c r="V98"/>
  <c r="V118"/>
  <c r="O122"/>
  <c r="O123"/>
  <c r="Q100"/>
  <c r="Q121"/>
  <c r="Q98"/>
  <c r="K103"/>
  <c r="K115"/>
  <c r="V124"/>
  <c r="V108"/>
  <c r="N99"/>
  <c r="N116"/>
  <c r="N113"/>
  <c r="R127"/>
  <c r="R108"/>
  <c r="R123"/>
  <c r="R124"/>
  <c r="P124"/>
  <c r="P110"/>
  <c r="P121"/>
  <c r="P122"/>
  <c r="J102"/>
  <c r="L119"/>
  <c r="L106"/>
  <c r="M106"/>
  <c r="M107"/>
  <c r="F108"/>
  <c r="T117"/>
  <c r="T108"/>
  <c r="V116"/>
  <c r="V104"/>
  <c r="V125"/>
  <c r="V120"/>
  <c r="V105"/>
  <c r="V121"/>
  <c r="N102"/>
  <c r="N117"/>
  <c r="N124"/>
  <c r="N119"/>
  <c r="N104"/>
  <c r="N108"/>
  <c r="N125"/>
  <c r="N109"/>
  <c r="R106"/>
  <c r="R113"/>
  <c r="R109"/>
  <c r="R114"/>
  <c r="R121"/>
  <c r="R102"/>
  <c r="R99"/>
  <c r="R118"/>
  <c r="P117"/>
  <c r="P127"/>
  <c r="P125"/>
  <c r="P107"/>
  <c r="P111"/>
  <c r="P119"/>
  <c r="P100"/>
  <c r="J109"/>
  <c r="J112"/>
  <c r="J104"/>
  <c r="J125"/>
  <c r="J116"/>
  <c r="J113"/>
  <c r="J100"/>
  <c r="O98"/>
  <c r="O99"/>
  <c r="O102"/>
  <c r="O110"/>
  <c r="O124"/>
  <c r="O125"/>
  <c r="O105"/>
  <c r="O107"/>
  <c r="Q117"/>
  <c r="Q114"/>
  <c r="Q105"/>
  <c r="Q126"/>
  <c r="Q118"/>
  <c r="Q119"/>
  <c r="Q124"/>
  <c r="Q102"/>
  <c r="K104"/>
  <c r="K112"/>
  <c r="K98"/>
  <c r="K110"/>
  <c r="K127"/>
  <c r="K113"/>
  <c r="E111"/>
  <c r="E126"/>
  <c r="E109"/>
  <c r="E119"/>
  <c r="E101"/>
  <c r="E114"/>
  <c r="E98"/>
  <c r="E120"/>
  <c r="E116" i="8"/>
  <c r="L125" i="9"/>
  <c r="L104"/>
  <c r="L114"/>
  <c r="L127"/>
  <c r="L107"/>
  <c r="L121"/>
  <c r="L99"/>
  <c r="I103"/>
  <c r="I100"/>
  <c r="I120"/>
  <c r="I107"/>
  <c r="I121"/>
  <c r="M117"/>
  <c r="M125"/>
  <c r="M104"/>
  <c r="M119"/>
  <c r="M122"/>
  <c r="M110"/>
  <c r="S105"/>
  <c r="S123"/>
  <c r="S118"/>
  <c r="S109"/>
  <c r="S107"/>
  <c r="S115"/>
  <c r="U104"/>
  <c r="U125"/>
  <c r="U100"/>
  <c r="U110"/>
  <c r="U108"/>
  <c r="U121"/>
  <c r="H125"/>
  <c r="H127"/>
  <c r="H106"/>
  <c r="H116"/>
  <c r="H121"/>
  <c r="H102"/>
  <c r="H110"/>
  <c r="F113"/>
  <c r="F99"/>
  <c r="F115"/>
  <c r="F101"/>
  <c r="F109"/>
  <c r="F126"/>
  <c r="F118"/>
  <c r="X109"/>
  <c r="X125"/>
  <c r="X119"/>
  <c r="X112"/>
  <c r="X127"/>
  <c r="X101"/>
  <c r="X121"/>
  <c r="G114"/>
  <c r="G116"/>
  <c r="G126"/>
  <c r="G121"/>
  <c r="G100"/>
  <c r="T119"/>
  <c r="T109"/>
  <c r="T106"/>
  <c r="T99"/>
  <c r="T115"/>
  <c r="T111"/>
  <c r="T127"/>
  <c r="W125"/>
  <c r="W126"/>
  <c r="W101"/>
  <c r="W102"/>
  <c r="W117"/>
  <c r="W109"/>
  <c r="W111"/>
  <c r="E100"/>
  <c r="E117"/>
  <c r="E113"/>
  <c r="E103"/>
  <c r="L123"/>
  <c r="L109"/>
  <c r="L103"/>
  <c r="I113"/>
  <c r="M124"/>
  <c r="M113"/>
  <c r="M127"/>
  <c r="S112"/>
  <c r="S125"/>
  <c r="U117"/>
  <c r="U115"/>
  <c r="U118"/>
  <c r="H112"/>
  <c r="H124"/>
  <c r="F120"/>
  <c r="X99"/>
  <c r="X103"/>
  <c r="X111"/>
  <c r="X123"/>
  <c r="G104"/>
  <c r="G106"/>
  <c r="G107"/>
  <c r="G118"/>
  <c r="T118"/>
  <c r="T103"/>
  <c r="W106"/>
  <c r="W115"/>
  <c r="W98"/>
  <c r="W107"/>
  <c r="K119"/>
  <c r="K122"/>
  <c r="K116"/>
  <c r="K107"/>
  <c r="K100"/>
  <c r="E124"/>
  <c r="E104"/>
  <c r="E106"/>
  <c r="E107"/>
  <c r="E108"/>
  <c r="L117"/>
  <c r="L102"/>
  <c r="L110"/>
  <c r="L111"/>
  <c r="L120"/>
  <c r="I127"/>
  <c r="I110"/>
  <c r="I125"/>
  <c r="I102"/>
  <c r="I117"/>
  <c r="M108"/>
  <c r="M116"/>
  <c r="M114"/>
  <c r="M101"/>
  <c r="M102"/>
  <c r="S121"/>
  <c r="S126"/>
  <c r="S103"/>
  <c r="S99"/>
  <c r="U107"/>
  <c r="U103"/>
  <c r="U98"/>
  <c r="U112"/>
  <c r="H105"/>
  <c r="H101"/>
  <c r="H114"/>
  <c r="H119"/>
  <c r="H108"/>
  <c r="F98"/>
  <c r="F105"/>
  <c r="F117"/>
  <c r="F121"/>
  <c r="F124"/>
  <c r="F111"/>
  <c r="X114"/>
  <c r="X107"/>
  <c r="X104"/>
  <c r="X115"/>
  <c r="X105"/>
  <c r="G119"/>
  <c r="G113"/>
  <c r="G111"/>
  <c r="G99"/>
  <c r="G120"/>
  <c r="T125"/>
  <c r="T123"/>
  <c r="T126"/>
  <c r="T113"/>
  <c r="W123"/>
  <c r="W108"/>
  <c r="W121"/>
  <c r="W104"/>
  <c r="W124"/>
  <c r="W100"/>
  <c r="W119"/>
  <c r="Y109" l="1"/>
  <c r="Y100"/>
  <c r="Y125"/>
  <c r="Y114"/>
  <c r="Y126"/>
  <c r="Y105"/>
  <c r="Y108"/>
  <c r="Y123"/>
  <c r="Y117"/>
  <c r="Y102"/>
  <c r="Y115"/>
  <c r="Y111"/>
  <c r="Y99"/>
  <c r="Y106"/>
  <c r="Y127"/>
  <c r="Y122"/>
  <c r="Y107"/>
  <c r="Y116"/>
  <c r="Y104"/>
  <c r="Y124"/>
  <c r="Y121"/>
  <c r="Y110"/>
  <c r="Y113"/>
  <c r="Y118"/>
  <c r="Y112"/>
  <c r="Y101"/>
  <c r="Y120"/>
  <c r="Y103"/>
  <c r="Y119"/>
  <c r="Y98"/>
  <c r="W82" i="8" l="1"/>
  <c r="W102"/>
  <c r="W99"/>
  <c r="W98"/>
  <c r="W83"/>
  <c r="W120" s="1"/>
  <c r="W108"/>
  <c r="W106"/>
  <c r="W92"/>
  <c r="W78"/>
  <c r="W115" s="1"/>
  <c r="W79"/>
  <c r="W93"/>
  <c r="W89"/>
  <c r="W84"/>
  <c r="W87"/>
  <c r="W107"/>
  <c r="W105"/>
  <c r="W97"/>
  <c r="W96"/>
  <c r="W80"/>
  <c r="W90"/>
  <c r="W91"/>
  <c r="W101"/>
  <c r="W85"/>
  <c r="W86"/>
  <c r="W88"/>
  <c r="W125" s="1"/>
  <c r="W95"/>
  <c r="W94"/>
  <c r="W104"/>
  <c r="W103"/>
  <c r="W81"/>
  <c r="W100"/>
  <c r="J100"/>
  <c r="J97"/>
  <c r="J86"/>
  <c r="J106"/>
  <c r="J93"/>
  <c r="J88"/>
  <c r="J99"/>
  <c r="J91"/>
  <c r="J103"/>
  <c r="J108"/>
  <c r="J102"/>
  <c r="J92"/>
  <c r="J129" s="1"/>
  <c r="J94"/>
  <c r="J131" s="1"/>
  <c r="J85"/>
  <c r="J78"/>
  <c r="J115" s="1"/>
  <c r="J80"/>
  <c r="J96"/>
  <c r="J105"/>
  <c r="J82"/>
  <c r="J107"/>
  <c r="J144" s="1"/>
  <c r="J104"/>
  <c r="J141" s="1"/>
  <c r="J98"/>
  <c r="J135" s="1"/>
  <c r="J95"/>
  <c r="J83"/>
  <c r="J101"/>
  <c r="J90"/>
  <c r="J87"/>
  <c r="J124" s="1"/>
  <c r="J81"/>
  <c r="J79"/>
  <c r="J89"/>
  <c r="J84"/>
  <c r="Q87"/>
  <c r="Q108"/>
  <c r="Q81"/>
  <c r="Q104"/>
  <c r="Q106"/>
  <c r="Q94"/>
  <c r="Q90"/>
  <c r="Q100"/>
  <c r="Q92"/>
  <c r="Q102"/>
  <c r="Q105"/>
  <c r="Q142" s="1"/>
  <c r="Q93"/>
  <c r="Q85"/>
  <c r="Q107"/>
  <c r="Q82"/>
  <c r="Q88"/>
  <c r="Q103"/>
  <c r="Q84"/>
  <c r="Q101"/>
  <c r="Q97"/>
  <c r="Q78"/>
  <c r="Q115" s="1"/>
  <c r="Q80"/>
  <c r="Q79"/>
  <c r="Q98"/>
  <c r="Q86"/>
  <c r="Q123" s="1"/>
  <c r="Q83"/>
  <c r="Q95"/>
  <c r="Q91"/>
  <c r="Q96"/>
  <c r="Q89"/>
  <c r="Q99"/>
  <c r="Y85"/>
  <c r="Y90"/>
  <c r="Y99"/>
  <c r="Y79"/>
  <c r="Y106"/>
  <c r="Y78"/>
  <c r="Y115" s="1"/>
  <c r="Y103"/>
  <c r="Y94"/>
  <c r="Y82"/>
  <c r="Y97"/>
  <c r="Y102"/>
  <c r="Y95"/>
  <c r="Y89"/>
  <c r="Y91"/>
  <c r="Y84"/>
  <c r="Y83"/>
  <c r="Y100"/>
  <c r="Y137" s="1"/>
  <c r="Y96"/>
  <c r="Y80"/>
  <c r="Y81"/>
  <c r="Y101"/>
  <c r="Y87"/>
  <c r="Y107"/>
  <c r="Y86"/>
  <c r="Y108"/>
  <c r="Y92"/>
  <c r="Y129" s="1"/>
  <c r="Y93"/>
  <c r="Y88"/>
  <c r="Y104"/>
  <c r="Y141" s="1"/>
  <c r="Y105"/>
  <c r="Y98"/>
  <c r="M79"/>
  <c r="M87"/>
  <c r="M86"/>
  <c r="M82"/>
  <c r="M92"/>
  <c r="M101"/>
  <c r="M91"/>
  <c r="M97"/>
  <c r="M98"/>
  <c r="M78"/>
  <c r="M115" s="1"/>
  <c r="M94"/>
  <c r="M85"/>
  <c r="M96"/>
  <c r="M80"/>
  <c r="M100"/>
  <c r="M102"/>
  <c r="M104"/>
  <c r="M93"/>
  <c r="M84"/>
  <c r="M99"/>
  <c r="M88"/>
  <c r="M89"/>
  <c r="M95"/>
  <c r="M132" s="1"/>
  <c r="M108"/>
  <c r="M90"/>
  <c r="M105"/>
  <c r="M106"/>
  <c r="M83"/>
  <c r="M81"/>
  <c r="M118" s="1"/>
  <c r="M103"/>
  <c r="M107"/>
  <c r="M144" s="1"/>
  <c r="X102"/>
  <c r="X98"/>
  <c r="X94"/>
  <c r="X85"/>
  <c r="X101"/>
  <c r="X105"/>
  <c r="X100"/>
  <c r="X90"/>
  <c r="X106"/>
  <c r="X99"/>
  <c r="X91"/>
  <c r="X107"/>
  <c r="X86"/>
  <c r="X87"/>
  <c r="X96"/>
  <c r="X104"/>
  <c r="X88"/>
  <c r="X78"/>
  <c r="X115" s="1"/>
  <c r="X108"/>
  <c r="X89"/>
  <c r="X81"/>
  <c r="X95"/>
  <c r="X83"/>
  <c r="X82"/>
  <c r="X103"/>
  <c r="X93"/>
  <c r="X97"/>
  <c r="X84"/>
  <c r="X80"/>
  <c r="X79"/>
  <c r="X116" s="1"/>
  <c r="X92"/>
  <c r="H85"/>
  <c r="H97"/>
  <c r="H90"/>
  <c r="H84"/>
  <c r="H99"/>
  <c r="H98"/>
  <c r="H135" s="1"/>
  <c r="H104"/>
  <c r="H107"/>
  <c r="H80"/>
  <c r="H93"/>
  <c r="H100"/>
  <c r="H78"/>
  <c r="H115" s="1"/>
  <c r="H86"/>
  <c r="H94"/>
  <c r="H81"/>
  <c r="H95"/>
  <c r="H88"/>
  <c r="H108"/>
  <c r="H96"/>
  <c r="H101"/>
  <c r="H103"/>
  <c r="H102"/>
  <c r="H87"/>
  <c r="H105"/>
  <c r="H79"/>
  <c r="H83"/>
  <c r="H82"/>
  <c r="H92"/>
  <c r="H89"/>
  <c r="H91"/>
  <c r="H106"/>
  <c r="L105"/>
  <c r="L99"/>
  <c r="L100"/>
  <c r="L92"/>
  <c r="L91"/>
  <c r="L101"/>
  <c r="L81"/>
  <c r="L88"/>
  <c r="L87"/>
  <c r="L79"/>
  <c r="L80"/>
  <c r="L82"/>
  <c r="L108"/>
  <c r="L104"/>
  <c r="L97"/>
  <c r="L78"/>
  <c r="L115" s="1"/>
  <c r="L86"/>
  <c r="L103"/>
  <c r="L96"/>
  <c r="L95"/>
  <c r="L94"/>
  <c r="L93"/>
  <c r="L107"/>
  <c r="L90"/>
  <c r="L102"/>
  <c r="L89"/>
  <c r="L106"/>
  <c r="L98"/>
  <c r="L83"/>
  <c r="L85"/>
  <c r="L84"/>
  <c r="U87"/>
  <c r="U83"/>
  <c r="U99"/>
  <c r="U93"/>
  <c r="U79"/>
  <c r="U95"/>
  <c r="U94"/>
  <c r="U88"/>
  <c r="U100"/>
  <c r="U104"/>
  <c r="U97"/>
  <c r="U85"/>
  <c r="U103"/>
  <c r="U90"/>
  <c r="U101"/>
  <c r="U86"/>
  <c r="U82"/>
  <c r="U81"/>
  <c r="U96"/>
  <c r="U102"/>
  <c r="U106"/>
  <c r="U92"/>
  <c r="U78"/>
  <c r="U115" s="1"/>
  <c r="U91"/>
  <c r="U89"/>
  <c r="U108"/>
  <c r="U80"/>
  <c r="U105"/>
  <c r="U98"/>
  <c r="U107"/>
  <c r="U84"/>
  <c r="R104"/>
  <c r="R95"/>
  <c r="R80"/>
  <c r="R97"/>
  <c r="R100"/>
  <c r="R94"/>
  <c r="R96"/>
  <c r="R91"/>
  <c r="R106"/>
  <c r="R101"/>
  <c r="R99"/>
  <c r="R92"/>
  <c r="R129" s="1"/>
  <c r="R78"/>
  <c r="R115" s="1"/>
  <c r="R87"/>
  <c r="R86"/>
  <c r="R81"/>
  <c r="R84"/>
  <c r="R107"/>
  <c r="R79"/>
  <c r="R88"/>
  <c r="R105"/>
  <c r="R85"/>
  <c r="R90"/>
  <c r="R98"/>
  <c r="R108"/>
  <c r="R93"/>
  <c r="R103"/>
  <c r="R89"/>
  <c r="R126" s="1"/>
  <c r="R82"/>
  <c r="R83"/>
  <c r="R102"/>
  <c r="S95"/>
  <c r="S79"/>
  <c r="S105"/>
  <c r="S94"/>
  <c r="S96"/>
  <c r="S82"/>
  <c r="S80"/>
  <c r="S83"/>
  <c r="S87"/>
  <c r="S104"/>
  <c r="S88"/>
  <c r="S97"/>
  <c r="S93"/>
  <c r="S90"/>
  <c r="S98"/>
  <c r="S100"/>
  <c r="S89"/>
  <c r="S86"/>
  <c r="S81"/>
  <c r="S118" s="1"/>
  <c r="S85"/>
  <c r="S103"/>
  <c r="S102"/>
  <c r="S84"/>
  <c r="S99"/>
  <c r="S78"/>
  <c r="S115" s="1"/>
  <c r="S92"/>
  <c r="S107"/>
  <c r="S101"/>
  <c r="S106"/>
  <c r="S91"/>
  <c r="S108"/>
  <c r="P92"/>
  <c r="P89"/>
  <c r="P107"/>
  <c r="P81"/>
  <c r="P101"/>
  <c r="P79"/>
  <c r="P96"/>
  <c r="P80"/>
  <c r="P93"/>
  <c r="P85"/>
  <c r="P98"/>
  <c r="P106"/>
  <c r="P104"/>
  <c r="P87"/>
  <c r="P82"/>
  <c r="P78"/>
  <c r="P115" s="1"/>
  <c r="P108"/>
  <c r="P145" s="1"/>
  <c r="P83"/>
  <c r="P84"/>
  <c r="P100"/>
  <c r="P91"/>
  <c r="P99"/>
  <c r="P94"/>
  <c r="P102"/>
  <c r="P139" s="1"/>
  <c r="P97"/>
  <c r="P103"/>
  <c r="P95"/>
  <c r="P105"/>
  <c r="P90"/>
  <c r="P86"/>
  <c r="P88"/>
  <c r="T85"/>
  <c r="T93"/>
  <c r="T105"/>
  <c r="T96"/>
  <c r="T101"/>
  <c r="T103"/>
  <c r="T87"/>
  <c r="T102"/>
  <c r="T78"/>
  <c r="T115" s="1"/>
  <c r="T95"/>
  <c r="T104"/>
  <c r="T82"/>
  <c r="T84"/>
  <c r="T100"/>
  <c r="T108"/>
  <c r="T107"/>
  <c r="T106"/>
  <c r="T91"/>
  <c r="T97"/>
  <c r="T99"/>
  <c r="T89"/>
  <c r="T81"/>
  <c r="T80"/>
  <c r="T90"/>
  <c r="T83"/>
  <c r="T92"/>
  <c r="T79"/>
  <c r="T88"/>
  <c r="T98"/>
  <c r="T86"/>
  <c r="T94"/>
  <c r="F89"/>
  <c r="F94"/>
  <c r="F108"/>
  <c r="F102"/>
  <c r="F92"/>
  <c r="F99"/>
  <c r="F98"/>
  <c r="F97"/>
  <c r="F90"/>
  <c r="F81"/>
  <c r="F100"/>
  <c r="F103"/>
  <c r="F107"/>
  <c r="F95"/>
  <c r="F78"/>
  <c r="F115" s="1"/>
  <c r="F79"/>
  <c r="F87"/>
  <c r="F84"/>
  <c r="F96"/>
  <c r="F91"/>
  <c r="F80"/>
  <c r="F85"/>
  <c r="F106"/>
  <c r="F82"/>
  <c r="F105"/>
  <c r="F83"/>
  <c r="F93"/>
  <c r="F86"/>
  <c r="F88"/>
  <c r="F125" s="1"/>
  <c r="F101"/>
  <c r="F138" s="1"/>
  <c r="F104"/>
  <c r="I86"/>
  <c r="I79"/>
  <c r="I84"/>
  <c r="I91"/>
  <c r="I99"/>
  <c r="I87"/>
  <c r="I92"/>
  <c r="I107"/>
  <c r="I85"/>
  <c r="I98"/>
  <c r="I81"/>
  <c r="I100"/>
  <c r="I108"/>
  <c r="I83"/>
  <c r="I105"/>
  <c r="I106"/>
  <c r="I78"/>
  <c r="I115" s="1"/>
  <c r="I90"/>
  <c r="I95"/>
  <c r="I89"/>
  <c r="I93"/>
  <c r="I101"/>
  <c r="I80"/>
  <c r="I97"/>
  <c r="I88"/>
  <c r="I102"/>
  <c r="I82"/>
  <c r="I119" s="1"/>
  <c r="I96"/>
  <c r="I103"/>
  <c r="I94"/>
  <c r="I104"/>
  <c r="V97"/>
  <c r="V100"/>
  <c r="V81"/>
  <c r="V98"/>
  <c r="V82"/>
  <c r="V102"/>
  <c r="V79"/>
  <c r="V83"/>
  <c r="V86"/>
  <c r="V99"/>
  <c r="V103"/>
  <c r="V95"/>
  <c r="V94"/>
  <c r="V91"/>
  <c r="V85"/>
  <c r="V104"/>
  <c r="V88"/>
  <c r="V84"/>
  <c r="V87"/>
  <c r="V90"/>
  <c r="V101"/>
  <c r="V107"/>
  <c r="V106"/>
  <c r="V92"/>
  <c r="V89"/>
  <c r="V108"/>
  <c r="V105"/>
  <c r="V80"/>
  <c r="V96"/>
  <c r="V93"/>
  <c r="V78"/>
  <c r="V115" s="1"/>
  <c r="G82"/>
  <c r="G89"/>
  <c r="G90"/>
  <c r="G98"/>
  <c r="G79"/>
  <c r="G80"/>
  <c r="G100"/>
  <c r="G107"/>
  <c r="G99"/>
  <c r="G91"/>
  <c r="G84"/>
  <c r="G103"/>
  <c r="G108"/>
  <c r="G81"/>
  <c r="G102"/>
  <c r="G94"/>
  <c r="G101"/>
  <c r="G105"/>
  <c r="G78"/>
  <c r="G115" s="1"/>
  <c r="G86"/>
  <c r="G87"/>
  <c r="G83"/>
  <c r="G88"/>
  <c r="G97"/>
  <c r="G106"/>
  <c r="G104"/>
  <c r="G85"/>
  <c r="G96"/>
  <c r="G92"/>
  <c r="G129" s="1"/>
  <c r="G95"/>
  <c r="G93"/>
  <c r="O92"/>
  <c r="O88"/>
  <c r="O108"/>
  <c r="O103"/>
  <c r="O98"/>
  <c r="O100"/>
  <c r="O81"/>
  <c r="O107"/>
  <c r="O93"/>
  <c r="O79"/>
  <c r="O90"/>
  <c r="O105"/>
  <c r="O91"/>
  <c r="O82"/>
  <c r="O87"/>
  <c r="O83"/>
  <c r="O97"/>
  <c r="O96"/>
  <c r="O78"/>
  <c r="O115" s="1"/>
  <c r="O85"/>
  <c r="O102"/>
  <c r="O89"/>
  <c r="O126" s="1"/>
  <c r="O94"/>
  <c r="O84"/>
  <c r="O99"/>
  <c r="O95"/>
  <c r="O106"/>
  <c r="O101"/>
  <c r="O86"/>
  <c r="O104"/>
  <c r="O80"/>
  <c r="N86"/>
  <c r="N90"/>
  <c r="N92"/>
  <c r="N104"/>
  <c r="N79"/>
  <c r="N102"/>
  <c r="N89"/>
  <c r="N91"/>
  <c r="N99"/>
  <c r="N97"/>
  <c r="N103"/>
  <c r="N94"/>
  <c r="N80"/>
  <c r="N117" s="1"/>
  <c r="N87"/>
  <c r="N108"/>
  <c r="N107"/>
  <c r="N106"/>
  <c r="N81"/>
  <c r="N83"/>
  <c r="N82"/>
  <c r="N105"/>
  <c r="N85"/>
  <c r="N95"/>
  <c r="N132" s="1"/>
  <c r="N101"/>
  <c r="N98"/>
  <c r="N78"/>
  <c r="N115" s="1"/>
  <c r="N88"/>
  <c r="N84"/>
  <c r="N93"/>
  <c r="N100"/>
  <c r="N96"/>
  <c r="K95"/>
  <c r="K87"/>
  <c r="K97"/>
  <c r="K81"/>
  <c r="K96"/>
  <c r="K94"/>
  <c r="K90"/>
  <c r="K93"/>
  <c r="K80"/>
  <c r="K89"/>
  <c r="K78"/>
  <c r="K115" s="1"/>
  <c r="K100"/>
  <c r="K99"/>
  <c r="K88"/>
  <c r="K125" s="1"/>
  <c r="K106"/>
  <c r="K86"/>
  <c r="K91"/>
  <c r="K101"/>
  <c r="K83"/>
  <c r="K85"/>
  <c r="K84"/>
  <c r="K102"/>
  <c r="K105"/>
  <c r="K108"/>
  <c r="K103"/>
  <c r="K107"/>
  <c r="K82"/>
  <c r="K104"/>
  <c r="K92"/>
  <c r="K79"/>
  <c r="K98"/>
  <c r="F122" l="1"/>
  <c r="T143"/>
  <c r="O143"/>
  <c r="G128"/>
  <c r="F141"/>
  <c r="F130"/>
  <c r="L139"/>
  <c r="X145"/>
  <c r="Q125"/>
  <c r="J121"/>
  <c r="N130"/>
  <c r="N135"/>
  <c r="F128"/>
  <c r="T116"/>
  <c r="P136"/>
  <c r="P119"/>
  <c r="R145"/>
  <c r="L143"/>
  <c r="X125"/>
  <c r="Y144"/>
  <c r="S138"/>
  <c r="U137"/>
  <c r="Q136"/>
  <c r="V142"/>
  <c r="K139"/>
  <c r="O121"/>
  <c r="Q135"/>
  <c r="I139"/>
  <c r="W138"/>
  <c r="J137"/>
  <c r="N137"/>
  <c r="X134"/>
  <c r="Y138"/>
  <c r="H143"/>
  <c r="K138"/>
  <c r="K143"/>
  <c r="N145"/>
  <c r="N140"/>
  <c r="O142"/>
  <c r="G136"/>
  <c r="V145"/>
  <c r="V140"/>
  <c r="F143"/>
  <c r="F140"/>
  <c r="T136"/>
  <c r="T140"/>
  <c r="P144"/>
  <c r="S144"/>
  <c r="S135"/>
  <c r="S142"/>
  <c r="R139"/>
  <c r="R137"/>
  <c r="U142"/>
  <c r="U139"/>
  <c r="L145"/>
  <c r="L138"/>
  <c r="H137"/>
  <c r="H141"/>
  <c r="X144"/>
  <c r="X138"/>
  <c r="M141"/>
  <c r="M135"/>
  <c r="Y145"/>
  <c r="Q138"/>
  <c r="W141"/>
  <c r="K140"/>
  <c r="K142"/>
  <c r="K137"/>
  <c r="N144"/>
  <c r="O138"/>
  <c r="G143"/>
  <c r="G138"/>
  <c r="G145"/>
  <c r="V135"/>
  <c r="I141"/>
  <c r="I137"/>
  <c r="F136"/>
  <c r="T135"/>
  <c r="T142"/>
  <c r="P140"/>
  <c r="R135"/>
  <c r="R143"/>
  <c r="U135"/>
  <c r="L137"/>
  <c r="H136"/>
  <c r="X143"/>
  <c r="V141"/>
  <c r="S145"/>
  <c r="S136"/>
  <c r="W140"/>
  <c r="N136"/>
  <c r="G141"/>
  <c r="V138"/>
  <c r="I140"/>
  <c r="I136"/>
  <c r="T145"/>
  <c r="T139"/>
  <c r="P143"/>
  <c r="S143"/>
  <c r="S140"/>
  <c r="R142"/>
  <c r="U144"/>
  <c r="H140"/>
  <c r="X140"/>
  <c r="X136"/>
  <c r="M140"/>
  <c r="M137"/>
  <c r="Y135"/>
  <c r="Q140"/>
  <c r="Q145"/>
  <c r="J142"/>
  <c r="W144"/>
  <c r="J138"/>
  <c r="Q144"/>
  <c r="W137"/>
  <c r="K135"/>
  <c r="N138"/>
  <c r="N143"/>
  <c r="O136"/>
  <c r="O137"/>
  <c r="G142"/>
  <c r="G137"/>
  <c r="G135"/>
  <c r="I145"/>
  <c r="F142"/>
  <c r="F135"/>
  <c r="F145"/>
  <c r="T141"/>
  <c r="R144"/>
  <c r="R138"/>
  <c r="U145"/>
  <c r="U141"/>
  <c r="L144"/>
  <c r="L142"/>
  <c r="X142"/>
  <c r="Y143"/>
  <c r="J145"/>
  <c r="W135"/>
  <c r="O139"/>
  <c r="K145"/>
  <c r="K136"/>
  <c r="N142"/>
  <c r="K141"/>
  <c r="N139"/>
  <c r="O141"/>
  <c r="O145"/>
  <c r="G139"/>
  <c r="G140"/>
  <c r="G144"/>
  <c r="V144"/>
  <c r="V136"/>
  <c r="V139"/>
  <c r="V137"/>
  <c r="I138"/>
  <c r="I135"/>
  <c r="F137"/>
  <c r="F139"/>
  <c r="T144"/>
  <c r="T138"/>
  <c r="P142"/>
  <c r="P137"/>
  <c r="P138"/>
  <c r="S139"/>
  <c r="S141"/>
  <c r="R136"/>
  <c r="U138"/>
  <c r="L135"/>
  <c r="L136"/>
  <c r="H139"/>
  <c r="H145"/>
  <c r="X137"/>
  <c r="M143"/>
  <c r="M145"/>
  <c r="M136"/>
  <c r="M139"/>
  <c r="Q139"/>
  <c r="J139"/>
  <c r="J136"/>
  <c r="W142"/>
  <c r="O144"/>
  <c r="O140"/>
  <c r="I142"/>
  <c r="P141"/>
  <c r="R140"/>
  <c r="R141"/>
  <c r="X139"/>
  <c r="Y139"/>
  <c r="Y140"/>
  <c r="Y136"/>
  <c r="Q141"/>
  <c r="J143"/>
  <c r="W145"/>
  <c r="W139"/>
  <c r="K144"/>
  <c r="N141"/>
  <c r="O135"/>
  <c r="V143"/>
  <c r="I143"/>
  <c r="I144"/>
  <c r="F144"/>
  <c r="T137"/>
  <c r="P135"/>
  <c r="S137"/>
  <c r="U143"/>
  <c r="U140"/>
  <c r="U136"/>
  <c r="L140"/>
  <c r="L141"/>
  <c r="H142"/>
  <c r="H138"/>
  <c r="H144"/>
  <c r="X141"/>
  <c r="X135"/>
  <c r="M142"/>
  <c r="M138"/>
  <c r="Y142"/>
  <c r="Q137"/>
  <c r="Q143"/>
  <c r="J140"/>
  <c r="W143"/>
  <c r="W136"/>
  <c r="U123"/>
  <c r="K133"/>
  <c r="W130"/>
  <c r="T129"/>
  <c r="Q126"/>
  <c r="P132"/>
  <c r="H131"/>
  <c r="T125"/>
  <c r="P134"/>
  <c r="N133"/>
  <c r="S121"/>
  <c r="O132"/>
  <c r="X117"/>
  <c r="M123"/>
  <c r="Y121"/>
  <c r="Y119"/>
  <c r="W118"/>
  <c r="W132"/>
  <c r="J126"/>
  <c r="O117"/>
  <c r="O120"/>
  <c r="T127"/>
  <c r="P122"/>
  <c r="S125"/>
  <c r="S117"/>
  <c r="Q116"/>
  <c r="O134"/>
  <c r="I128"/>
  <c r="R125"/>
  <c r="R121"/>
  <c r="F117"/>
  <c r="X131"/>
  <c r="K121"/>
  <c r="K131"/>
  <c r="K124"/>
  <c r="G130"/>
  <c r="G125"/>
  <c r="V117"/>
  <c r="V121"/>
  <c r="V128"/>
  <c r="T130"/>
  <c r="I126"/>
  <c r="I123"/>
  <c r="T121"/>
  <c r="R132"/>
  <c r="U121"/>
  <c r="U124"/>
  <c r="L133"/>
  <c r="L125"/>
  <c r="L129"/>
  <c r="J117"/>
  <c r="J128"/>
  <c r="K119"/>
  <c r="K122"/>
  <c r="K117"/>
  <c r="K132"/>
  <c r="N122"/>
  <c r="N118"/>
  <c r="N124"/>
  <c r="N134"/>
  <c r="N129"/>
  <c r="O131"/>
  <c r="O124"/>
  <c r="O127"/>
  <c r="O118"/>
  <c r="G132"/>
  <c r="G120"/>
  <c r="G118"/>
  <c r="I131"/>
  <c r="F123"/>
  <c r="R118"/>
  <c r="H132"/>
  <c r="X123"/>
  <c r="M117"/>
  <c r="Y124"/>
  <c r="Y128"/>
  <c r="Y116"/>
  <c r="Q133"/>
  <c r="J132"/>
  <c r="J119"/>
  <c r="N128"/>
  <c r="W127"/>
  <c r="W121"/>
  <c r="W116"/>
  <c r="V126"/>
  <c r="P116"/>
  <c r="S128"/>
  <c r="U133"/>
  <c r="U131"/>
  <c r="L119"/>
  <c r="H116"/>
  <c r="H123"/>
  <c r="X124"/>
  <c r="M131"/>
  <c r="Y130"/>
  <c r="Y117"/>
  <c r="Y132"/>
  <c r="Q119"/>
  <c r="J120"/>
  <c r="W129"/>
  <c r="I133"/>
  <c r="F124"/>
  <c r="K129"/>
  <c r="G126"/>
  <c r="T120"/>
  <c r="R119"/>
  <c r="U128"/>
  <c r="F132"/>
  <c r="P127"/>
  <c r="K127"/>
  <c r="O130"/>
  <c r="G123"/>
  <c r="G131"/>
  <c r="G117"/>
  <c r="V124"/>
  <c r="I130"/>
  <c r="I122"/>
  <c r="S120"/>
  <c r="V130"/>
  <c r="V132"/>
  <c r="V120"/>
  <c r="I120"/>
  <c r="I116"/>
  <c r="F116"/>
  <c r="F129"/>
  <c r="T123"/>
  <c r="T118"/>
  <c r="T133"/>
  <c r="P125"/>
  <c r="P131"/>
  <c r="P121"/>
  <c r="S130"/>
  <c r="S124"/>
  <c r="S133"/>
  <c r="R120"/>
  <c r="R130"/>
  <c r="U126"/>
  <c r="U119"/>
  <c r="U116"/>
  <c r="L120"/>
  <c r="L131"/>
  <c r="L123"/>
  <c r="L116"/>
  <c r="H128"/>
  <c r="H124"/>
  <c r="H133"/>
  <c r="H118"/>
  <c r="H121"/>
  <c r="X129"/>
  <c r="X120"/>
  <c r="X133"/>
  <c r="X127"/>
  <c r="M120"/>
  <c r="M127"/>
  <c r="M125"/>
  <c r="M133"/>
  <c r="M129"/>
  <c r="Y126"/>
  <c r="Q128"/>
  <c r="Q122"/>
  <c r="Q131"/>
  <c r="J116"/>
  <c r="J127"/>
  <c r="J134"/>
  <c r="W123"/>
  <c r="W134"/>
  <c r="K134"/>
  <c r="N125"/>
  <c r="N119"/>
  <c r="N131"/>
  <c r="N123"/>
  <c r="O128"/>
  <c r="G133"/>
  <c r="G134"/>
  <c r="V127"/>
  <c r="I127"/>
  <c r="I124"/>
  <c r="F133"/>
  <c r="F134"/>
  <c r="F126"/>
  <c r="T128"/>
  <c r="P117"/>
  <c r="P118"/>
  <c r="P129"/>
  <c r="S126"/>
  <c r="S116"/>
  <c r="R122"/>
  <c r="R123"/>
  <c r="R133"/>
  <c r="R134"/>
  <c r="U117"/>
  <c r="U134"/>
  <c r="L121"/>
  <c r="L134"/>
  <c r="H129"/>
  <c r="H125"/>
  <c r="H117"/>
  <c r="H134"/>
  <c r="X118"/>
  <c r="M121"/>
  <c r="M128"/>
  <c r="Y122"/>
  <c r="K116"/>
  <c r="K120"/>
  <c r="K123"/>
  <c r="K130"/>
  <c r="K118"/>
  <c r="N121"/>
  <c r="N116"/>
  <c r="N127"/>
  <c r="O123"/>
  <c r="O133"/>
  <c r="O119"/>
  <c r="O116"/>
  <c r="O125"/>
  <c r="G124"/>
  <c r="G127"/>
  <c r="V129"/>
  <c r="V125"/>
  <c r="V131"/>
  <c r="V123"/>
  <c r="V119"/>
  <c r="V134"/>
  <c r="I117"/>
  <c r="I132"/>
  <c r="I118"/>
  <c r="I129"/>
  <c r="I121"/>
  <c r="F119"/>
  <c r="F127"/>
  <c r="F131"/>
  <c r="T131"/>
  <c r="T117"/>
  <c r="T134"/>
  <c r="T119"/>
  <c r="T122"/>
  <c r="P130"/>
  <c r="P126"/>
  <c r="S129"/>
  <c r="S123"/>
  <c r="S127"/>
  <c r="S119"/>
  <c r="R127"/>
  <c r="R116"/>
  <c r="R128"/>
  <c r="U122"/>
  <c r="U125"/>
  <c r="U120"/>
  <c r="L127"/>
  <c r="L132"/>
  <c r="L124"/>
  <c r="L128"/>
  <c r="H126"/>
  <c r="H120"/>
  <c r="H130"/>
  <c r="H127"/>
  <c r="X130"/>
  <c r="X132"/>
  <c r="X128"/>
  <c r="X122"/>
  <c r="M122"/>
  <c r="M134"/>
  <c r="M119"/>
  <c r="M116"/>
  <c r="Y125"/>
  <c r="Y123"/>
  <c r="Y118"/>
  <c r="Y120"/>
  <c r="Y134"/>
  <c r="Y127"/>
  <c r="Q132"/>
  <c r="Q134"/>
  <c r="Q130"/>
  <c r="Q124"/>
  <c r="J118"/>
  <c r="J133"/>
  <c r="J130"/>
  <c r="W131"/>
  <c r="W122"/>
  <c r="W117"/>
  <c r="W126"/>
  <c r="W119"/>
  <c r="G121"/>
  <c r="I134"/>
  <c r="F118"/>
  <c r="P128"/>
  <c r="Q129"/>
  <c r="J122"/>
  <c r="J125"/>
  <c r="K128"/>
  <c r="K126"/>
  <c r="N120"/>
  <c r="N126"/>
  <c r="O122"/>
  <c r="O129"/>
  <c r="G122"/>
  <c r="G116"/>
  <c r="G119"/>
  <c r="V133"/>
  <c r="V122"/>
  <c r="V116"/>
  <c r="V118"/>
  <c r="I125"/>
  <c r="F120"/>
  <c r="F121"/>
  <c r="T126"/>
  <c r="T132"/>
  <c r="T124"/>
  <c r="P123"/>
  <c r="P120"/>
  <c r="P124"/>
  <c r="P133"/>
  <c r="S122"/>
  <c r="S134"/>
  <c r="S131"/>
  <c r="S132"/>
  <c r="R124"/>
  <c r="R131"/>
  <c r="R117"/>
  <c r="U129"/>
  <c r="U118"/>
  <c r="U127"/>
  <c r="U132"/>
  <c r="U130"/>
  <c r="L122"/>
  <c r="L126"/>
  <c r="L130"/>
  <c r="L117"/>
  <c r="L118"/>
  <c r="H119"/>
  <c r="H122"/>
  <c r="X121"/>
  <c r="X119"/>
  <c r="X126"/>
  <c r="M126"/>
  <c r="M130"/>
  <c r="M124"/>
  <c r="Y133"/>
  <c r="Y131"/>
  <c r="Q120"/>
  <c r="Q117"/>
  <c r="Q121"/>
  <c r="Q127"/>
  <c r="Q118"/>
  <c r="J123"/>
  <c r="W128"/>
  <c r="W133"/>
  <c r="W124"/>
  <c r="E41" l="1"/>
  <c r="A34"/>
  <c r="A23" i="9"/>
  <c r="E42" i="8"/>
  <c r="A32"/>
  <c r="E40"/>
  <c r="A43"/>
  <c r="E43" s="1"/>
  <c r="A33"/>
  <c r="A31"/>
  <c r="A26" i="9"/>
  <c r="A24"/>
  <c r="A25"/>
  <c r="A8" i="18"/>
  <c r="A9"/>
  <c r="A10"/>
  <c r="A7"/>
  <c r="A3"/>
  <c r="A4"/>
  <c r="A5"/>
  <c r="A6"/>
  <c r="E32" i="9"/>
  <c r="X32"/>
  <c r="K32"/>
  <c r="U48" i="8"/>
  <c r="F48"/>
  <c r="K48"/>
  <c r="V48"/>
  <c r="U32" i="9"/>
  <c r="P32"/>
  <c r="P48" i="8"/>
  <c r="W32" i="9"/>
  <c r="I32"/>
  <c r="M32"/>
  <c r="S32"/>
  <c r="E48" i="8"/>
  <c r="N32" i="9"/>
  <c r="H32"/>
  <c r="R48" i="8"/>
  <c r="X48"/>
  <c r="R32" i="9"/>
  <c r="Q32"/>
  <c r="I48" i="8"/>
  <c r="T48"/>
  <c r="W48"/>
  <c r="G48"/>
  <c r="T32" i="9"/>
  <c r="V32"/>
  <c r="L32"/>
  <c r="Q48" i="8"/>
  <c r="G32" i="9"/>
  <c r="F32"/>
  <c r="A9" i="8"/>
  <c r="N48"/>
  <c r="O32" i="9"/>
  <c r="H48" i="8"/>
  <c r="S48"/>
  <c r="O48"/>
  <c r="A9" i="9"/>
  <c r="L48" i="8"/>
  <c r="M48"/>
  <c r="J32" i="9"/>
  <c r="J48" i="8"/>
  <c r="O26" i="9" l="1"/>
  <c r="O36" s="1"/>
  <c r="O144" s="1"/>
  <c r="P25" i="8" s="1"/>
  <c r="P43" s="1"/>
  <c r="M26" i="9"/>
  <c r="M36" s="1"/>
  <c r="M144" s="1"/>
  <c r="N25" i="8" s="1"/>
  <c r="N43" s="1"/>
  <c r="Q26" i="9"/>
  <c r="Q36" s="1"/>
  <c r="Q144" s="1"/>
  <c r="R25" i="8" s="1"/>
  <c r="R43" s="1"/>
  <c r="H26" i="9"/>
  <c r="H36" s="1"/>
  <c r="H144" s="1"/>
  <c r="I25" i="8" s="1"/>
  <c r="I43" s="1"/>
  <c r="S26" i="9"/>
  <c r="S36" s="1"/>
  <c r="S144" s="1"/>
  <c r="T25" i="8" s="1"/>
  <c r="T43" s="1"/>
  <c r="W26" i="9"/>
  <c r="W36" s="1"/>
  <c r="W144" s="1"/>
  <c r="X25" i="8" s="1"/>
  <c r="X43" s="1"/>
  <c r="G26" i="9"/>
  <c r="G36" s="1"/>
  <c r="G144" s="1"/>
  <c r="H25" i="8" s="1"/>
  <c r="H43" s="1"/>
  <c r="P26" i="9"/>
  <c r="P36" s="1"/>
  <c r="P144" s="1"/>
  <c r="Q25" i="8" s="1"/>
  <c r="Q43" s="1"/>
  <c r="X26" i="9"/>
  <c r="U26"/>
  <c r="U36" s="1"/>
  <c r="U144" s="1"/>
  <c r="V25" i="8" s="1"/>
  <c r="V43" s="1"/>
  <c r="K26" i="9"/>
  <c r="K36" s="1"/>
  <c r="K144" s="1"/>
  <c r="L25" i="8" s="1"/>
  <c r="L43" s="1"/>
  <c r="R26" i="9"/>
  <c r="R36" s="1"/>
  <c r="R144" s="1"/>
  <c r="S25" i="8" s="1"/>
  <c r="S43" s="1"/>
  <c r="T26" i="9"/>
  <c r="T36" s="1"/>
  <c r="T144" s="1"/>
  <c r="U25" i="8" s="1"/>
  <c r="U43" s="1"/>
  <c r="N26" i="9"/>
  <c r="N36" s="1"/>
  <c r="N144" s="1"/>
  <c r="O25" i="8" s="1"/>
  <c r="O43" s="1"/>
  <c r="E26" i="9"/>
  <c r="E36" s="1"/>
  <c r="V26"/>
  <c r="V36" s="1"/>
  <c r="V144" s="1"/>
  <c r="W25" i="8" s="1"/>
  <c r="W43" s="1"/>
  <c r="F26" i="9"/>
  <c r="F36" s="1"/>
  <c r="F144" s="1"/>
  <c r="G25" i="8" s="1"/>
  <c r="G43" s="1"/>
  <c r="J26" i="9"/>
  <c r="J36" s="1"/>
  <c r="J144" s="1"/>
  <c r="K25" i="8" s="1"/>
  <c r="K43" s="1"/>
  <c r="L26" i="9"/>
  <c r="L36" s="1"/>
  <c r="L144" s="1"/>
  <c r="M25" i="8" s="1"/>
  <c r="M43" s="1"/>
  <c r="I26" i="9"/>
  <c r="I36" s="1"/>
  <c r="I144" s="1"/>
  <c r="J25" i="8" s="1"/>
  <c r="J43" s="1"/>
  <c r="E45"/>
  <c r="Q24" i="9"/>
  <c r="Q34" s="1"/>
  <c r="X24"/>
  <c r="N24"/>
  <c r="N34" s="1"/>
  <c r="E24"/>
  <c r="E34" s="1"/>
  <c r="T24"/>
  <c r="T34" s="1"/>
  <c r="F24"/>
  <c r="F34" s="1"/>
  <c r="R24"/>
  <c r="R34" s="1"/>
  <c r="I24"/>
  <c r="I34" s="1"/>
  <c r="K24"/>
  <c r="K34" s="1"/>
  <c r="G24"/>
  <c r="G34" s="1"/>
  <c r="O24"/>
  <c r="O34" s="1"/>
  <c r="J24"/>
  <c r="J34" s="1"/>
  <c r="U24"/>
  <c r="U34" s="1"/>
  <c r="M24"/>
  <c r="M34" s="1"/>
  <c r="P24"/>
  <c r="P34" s="1"/>
  <c r="W24"/>
  <c r="W34" s="1"/>
  <c r="V24"/>
  <c r="V34" s="1"/>
  <c r="H24"/>
  <c r="H34" s="1"/>
  <c r="S24"/>
  <c r="S34" s="1"/>
  <c r="L24"/>
  <c r="L34" s="1"/>
  <c r="R23"/>
  <c r="E23"/>
  <c r="F23"/>
  <c r="K23"/>
  <c r="P23"/>
  <c r="G23"/>
  <c r="O23"/>
  <c r="X23"/>
  <c r="H23"/>
  <c r="W23"/>
  <c r="N23"/>
  <c r="Q23"/>
  <c r="M23"/>
  <c r="T23"/>
  <c r="L23"/>
  <c r="V23"/>
  <c r="S23"/>
  <c r="I23"/>
  <c r="J23"/>
  <c r="U23"/>
  <c r="E7" i="18"/>
  <c r="E5"/>
  <c r="E4"/>
  <c r="E9"/>
  <c r="E10"/>
  <c r="E6"/>
  <c r="E8"/>
  <c r="E3"/>
  <c r="I25" i="9"/>
  <c r="I35" s="1"/>
  <c r="I143" s="1"/>
  <c r="J24" i="8" s="1"/>
  <c r="J42" s="1"/>
  <c r="E25" i="9"/>
  <c r="E35" s="1"/>
  <c r="Q25"/>
  <c r="Q35" s="1"/>
  <c r="Q143" s="1"/>
  <c r="R24" i="8" s="1"/>
  <c r="R42" s="1"/>
  <c r="M25" i="9"/>
  <c r="M35" s="1"/>
  <c r="M143" s="1"/>
  <c r="N24" i="8" s="1"/>
  <c r="N42" s="1"/>
  <c r="F25" i="9"/>
  <c r="F35" s="1"/>
  <c r="F143" s="1"/>
  <c r="G24" i="8" s="1"/>
  <c r="G42" s="1"/>
  <c r="R25" i="9"/>
  <c r="R35" s="1"/>
  <c r="R143" s="1"/>
  <c r="S24" i="8" s="1"/>
  <c r="S42" s="1"/>
  <c r="U25" i="9"/>
  <c r="U35" s="1"/>
  <c r="U143" s="1"/>
  <c r="V24" i="8" s="1"/>
  <c r="V42" s="1"/>
  <c r="K25" i="9"/>
  <c r="K35" s="1"/>
  <c r="K143" s="1"/>
  <c r="L24" i="8" s="1"/>
  <c r="L42" s="1"/>
  <c r="N25" i="9"/>
  <c r="N35" s="1"/>
  <c r="N143" s="1"/>
  <c r="O24" i="8" s="1"/>
  <c r="O42" s="1"/>
  <c r="O25" i="9"/>
  <c r="O35" s="1"/>
  <c r="O143" s="1"/>
  <c r="P24" i="8" s="1"/>
  <c r="P42" s="1"/>
  <c r="G25" i="9"/>
  <c r="G35" s="1"/>
  <c r="G143" s="1"/>
  <c r="H24" i="8" s="1"/>
  <c r="H42" s="1"/>
  <c r="H25" i="9"/>
  <c r="H35" s="1"/>
  <c r="H143" s="1"/>
  <c r="I24" i="8" s="1"/>
  <c r="I42" s="1"/>
  <c r="T25" i="9"/>
  <c r="T35" s="1"/>
  <c r="T143" s="1"/>
  <c r="U24" i="8" s="1"/>
  <c r="U42" s="1"/>
  <c r="S25" i="9"/>
  <c r="S35" s="1"/>
  <c r="S143" s="1"/>
  <c r="T24" i="8" s="1"/>
  <c r="T42" s="1"/>
  <c r="J25" i="9"/>
  <c r="J35" s="1"/>
  <c r="J143" s="1"/>
  <c r="K24" i="8" s="1"/>
  <c r="K42" s="1"/>
  <c r="X25" i="9"/>
  <c r="P25"/>
  <c r="P35" s="1"/>
  <c r="P143" s="1"/>
  <c r="Q24" i="8" s="1"/>
  <c r="Q42" s="1"/>
  <c r="L25" i="9"/>
  <c r="L35" s="1"/>
  <c r="L143" s="1"/>
  <c r="M24" i="8" s="1"/>
  <c r="M42" s="1"/>
  <c r="W25" i="9"/>
  <c r="W35" s="1"/>
  <c r="W143" s="1"/>
  <c r="X24" i="8" s="1"/>
  <c r="X42" s="1"/>
  <c r="V25" i="9"/>
  <c r="V35" s="1"/>
  <c r="V143" s="1"/>
  <c r="W24" i="8" s="1"/>
  <c r="W42" s="1"/>
  <c r="J33" i="9" l="1"/>
  <c r="J28"/>
  <c r="L28"/>
  <c r="L33"/>
  <c r="N28"/>
  <c r="N33"/>
  <c r="O28"/>
  <c r="O33"/>
  <c r="F28"/>
  <c r="F33"/>
  <c r="S49"/>
  <c r="S51"/>
  <c r="S142"/>
  <c r="T23" i="8" s="1"/>
  <c r="T41" s="1"/>
  <c r="S50" i="9"/>
  <c r="S48"/>
  <c r="P48"/>
  <c r="P142"/>
  <c r="Q23" i="8" s="1"/>
  <c r="Q41" s="1"/>
  <c r="P50" i="9"/>
  <c r="P51"/>
  <c r="P49"/>
  <c r="O48"/>
  <c r="O142"/>
  <c r="P23" i="8" s="1"/>
  <c r="P41" s="1"/>
  <c r="O49" i="9"/>
  <c r="O51"/>
  <c r="O50"/>
  <c r="R48"/>
  <c r="R50"/>
  <c r="R51"/>
  <c r="R142"/>
  <c r="S23" i="8" s="1"/>
  <c r="S41" s="1"/>
  <c r="R49" i="9"/>
  <c r="N49"/>
  <c r="N48"/>
  <c r="N50"/>
  <c r="N142"/>
  <c r="O23" i="8" s="1"/>
  <c r="O41" s="1"/>
  <c r="N51" i="9"/>
  <c r="AA26"/>
  <c r="X36"/>
  <c r="X144" s="1"/>
  <c r="AA25"/>
  <c r="X35"/>
  <c r="X143" s="1"/>
  <c r="U28"/>
  <c r="U33"/>
  <c r="V28"/>
  <c r="V33"/>
  <c r="Q28"/>
  <c r="Q33"/>
  <c r="X28"/>
  <c r="X33"/>
  <c r="AA23"/>
  <c r="K28"/>
  <c r="K33"/>
  <c r="L48"/>
  <c r="L142"/>
  <c r="M23" i="8" s="1"/>
  <c r="M41" s="1"/>
  <c r="L49" i="9"/>
  <c r="L50"/>
  <c r="L51"/>
  <c r="W48"/>
  <c r="W49"/>
  <c r="W51"/>
  <c r="W50"/>
  <c r="W142"/>
  <c r="X23" i="8" s="1"/>
  <c r="X41" s="1"/>
  <c r="J48" i="9"/>
  <c r="J49"/>
  <c r="J50"/>
  <c r="J51"/>
  <c r="J142"/>
  <c r="K23" i="8" s="1"/>
  <c r="K41" s="1"/>
  <c r="I48" i="9"/>
  <c r="I142"/>
  <c r="J23" i="8" s="1"/>
  <c r="J41" s="1"/>
  <c r="I51" i="9"/>
  <c r="I49"/>
  <c r="I50"/>
  <c r="E48"/>
  <c r="E142"/>
  <c r="F23" i="8" s="1"/>
  <c r="F41" s="1"/>
  <c r="E49" i="9"/>
  <c r="E51"/>
  <c r="E50"/>
  <c r="S28"/>
  <c r="S33"/>
  <c r="M33"/>
  <c r="M28"/>
  <c r="H28"/>
  <c r="H33"/>
  <c r="P28"/>
  <c r="P33"/>
  <c r="R28"/>
  <c r="R33"/>
  <c r="V49"/>
  <c r="V142"/>
  <c r="W23" i="8" s="1"/>
  <c r="W41" s="1"/>
  <c r="V48" i="9"/>
  <c r="V50"/>
  <c r="V51"/>
  <c r="U48"/>
  <c r="U49"/>
  <c r="U51"/>
  <c r="U50"/>
  <c r="U142"/>
  <c r="V23" i="8" s="1"/>
  <c r="V41" s="1"/>
  <c r="K49" i="9"/>
  <c r="K48"/>
  <c r="K50"/>
  <c r="K142"/>
  <c r="L23" i="8" s="1"/>
  <c r="L41" s="1"/>
  <c r="K51" i="9"/>
  <c r="T48"/>
  <c r="T49"/>
  <c r="T50"/>
  <c r="T51"/>
  <c r="T142"/>
  <c r="U23" i="8" s="1"/>
  <c r="U41" s="1"/>
  <c r="Q48" i="9"/>
  <c r="Q142"/>
  <c r="R23" i="8" s="1"/>
  <c r="R41" s="1"/>
  <c r="Q49" i="9"/>
  <c r="Q51"/>
  <c r="Q50"/>
  <c r="E144"/>
  <c r="F25" i="8" s="1"/>
  <c r="F43" s="1"/>
  <c r="E143" i="9"/>
  <c r="F24" i="8" s="1"/>
  <c r="F42" s="1"/>
  <c r="I28" i="9"/>
  <c r="I33"/>
  <c r="T33"/>
  <c r="T28"/>
  <c r="W28"/>
  <c r="W33"/>
  <c r="G28"/>
  <c r="G33"/>
  <c r="E33"/>
  <c r="E28"/>
  <c r="H48"/>
  <c r="H50"/>
  <c r="H142"/>
  <c r="I23" i="8" s="1"/>
  <c r="I41" s="1"/>
  <c r="H51" i="9"/>
  <c r="H49"/>
  <c r="M48"/>
  <c r="M49"/>
  <c r="M50"/>
  <c r="M51"/>
  <c r="M142"/>
  <c r="N23" i="8" s="1"/>
  <c r="N41" s="1"/>
  <c r="G48" i="9"/>
  <c r="G50"/>
  <c r="G51"/>
  <c r="G142"/>
  <c r="H23" i="8" s="1"/>
  <c r="H41" s="1"/>
  <c r="G49" i="9"/>
  <c r="F49"/>
  <c r="F48"/>
  <c r="F51"/>
  <c r="F142"/>
  <c r="G23" i="8" s="1"/>
  <c r="G41" s="1"/>
  <c r="F50" i="9"/>
  <c r="X34"/>
  <c r="AA34" s="1"/>
  <c r="AA24"/>
  <c r="AA36" l="1"/>
  <c r="AA35"/>
  <c r="AA43" i="8"/>
  <c r="AA28" i="9"/>
  <c r="AA41" i="8"/>
  <c r="AA42"/>
  <c r="AA144" i="9"/>
  <c r="X48"/>
  <c r="X50"/>
  <c r="Y50" s="1"/>
  <c r="X142"/>
  <c r="AA142" s="1"/>
  <c r="X49"/>
  <c r="Y49" s="1"/>
  <c r="AA49" s="1"/>
  <c r="X51"/>
  <c r="Y51" s="1"/>
  <c r="AA51" s="1"/>
  <c r="T45"/>
  <c r="T141"/>
  <c r="T46"/>
  <c r="T38"/>
  <c r="T44"/>
  <c r="T47"/>
  <c r="R47"/>
  <c r="R44"/>
  <c r="R46"/>
  <c r="R141"/>
  <c r="R38"/>
  <c r="R45"/>
  <c r="H45"/>
  <c r="H38"/>
  <c r="H44"/>
  <c r="H46"/>
  <c r="H141"/>
  <c r="H47"/>
  <c r="S44"/>
  <c r="S141"/>
  <c r="S45"/>
  <c r="S46"/>
  <c r="S47"/>
  <c r="S38"/>
  <c r="Q47"/>
  <c r="Q46"/>
  <c r="Q44"/>
  <c r="Q141"/>
  <c r="Q45"/>
  <c r="Q38"/>
  <c r="U47"/>
  <c r="U46"/>
  <c r="U45"/>
  <c r="U38"/>
  <c r="U44"/>
  <c r="U141"/>
  <c r="J47"/>
  <c r="J38"/>
  <c r="J44"/>
  <c r="J141"/>
  <c r="J46"/>
  <c r="J45"/>
  <c r="G47"/>
  <c r="G38"/>
  <c r="G46"/>
  <c r="G44"/>
  <c r="G141"/>
  <c r="G45"/>
  <c r="M47"/>
  <c r="M38"/>
  <c r="M46"/>
  <c r="M44"/>
  <c r="M141"/>
  <c r="M45"/>
  <c r="K47"/>
  <c r="K141"/>
  <c r="K38"/>
  <c r="K44"/>
  <c r="K46"/>
  <c r="K45"/>
  <c r="F46"/>
  <c r="F38"/>
  <c r="F47"/>
  <c r="F141"/>
  <c r="F45"/>
  <c r="F44"/>
  <c r="N46"/>
  <c r="N47"/>
  <c r="N38"/>
  <c r="N141"/>
  <c r="N45"/>
  <c r="N44"/>
  <c r="AA33"/>
  <c r="E46"/>
  <c r="E141"/>
  <c r="E47"/>
  <c r="E38"/>
  <c r="E44"/>
  <c r="E45"/>
  <c r="P45"/>
  <c r="P38"/>
  <c r="P44"/>
  <c r="P46"/>
  <c r="P141"/>
  <c r="P47"/>
  <c r="X45"/>
  <c r="X141"/>
  <c r="X44"/>
  <c r="X46"/>
  <c r="X38"/>
  <c r="X47"/>
  <c r="V44"/>
  <c r="V141"/>
  <c r="V45"/>
  <c r="V47"/>
  <c r="V46"/>
  <c r="V38"/>
  <c r="AA143"/>
  <c r="W44"/>
  <c r="W141"/>
  <c r="W46"/>
  <c r="W45"/>
  <c r="W47"/>
  <c r="W38"/>
  <c r="I46"/>
  <c r="I141"/>
  <c r="I47"/>
  <c r="I38"/>
  <c r="I44"/>
  <c r="I45"/>
  <c r="O47"/>
  <c r="O38"/>
  <c r="O141"/>
  <c r="O44"/>
  <c r="O45"/>
  <c r="O46"/>
  <c r="L45"/>
  <c r="L47"/>
  <c r="L44"/>
  <c r="L38"/>
  <c r="L46"/>
  <c r="L141"/>
  <c r="X146" l="1"/>
  <c r="Y46"/>
  <c r="Y48"/>
  <c r="AA48" s="1"/>
  <c r="AA38"/>
  <c r="W146"/>
  <c r="X22" i="8"/>
  <c r="V91" i="9"/>
  <c r="V128" s="1"/>
  <c r="V130" s="1"/>
  <c r="V54"/>
  <c r="X91"/>
  <c r="X128" s="1"/>
  <c r="X130" s="1"/>
  <c r="X54"/>
  <c r="Q22" i="8"/>
  <c r="P146" i="9"/>
  <c r="Y47"/>
  <c r="AA47" s="1"/>
  <c r="N54"/>
  <c r="N91"/>
  <c r="N128" s="1"/>
  <c r="N130" s="1"/>
  <c r="G22" i="8"/>
  <c r="F146" i="9"/>
  <c r="K146"/>
  <c r="L22" i="8"/>
  <c r="G54" i="9"/>
  <c r="G91"/>
  <c r="G128" s="1"/>
  <c r="G130" s="1"/>
  <c r="K22" i="8"/>
  <c r="J146" i="9"/>
  <c r="T22" i="8"/>
  <c r="S146" i="9"/>
  <c r="R91"/>
  <c r="R128" s="1"/>
  <c r="R130" s="1"/>
  <c r="R54"/>
  <c r="I91"/>
  <c r="I128" s="1"/>
  <c r="I130" s="1"/>
  <c r="I54"/>
  <c r="V146"/>
  <c r="W22" i="8"/>
  <c r="H22"/>
  <c r="G146" i="9"/>
  <c r="U91"/>
  <c r="U128" s="1"/>
  <c r="U130" s="1"/>
  <c r="U54"/>
  <c r="Q91"/>
  <c r="Q128" s="1"/>
  <c r="Q130" s="1"/>
  <c r="Q54"/>
  <c r="I22" i="8"/>
  <c r="H146" i="9"/>
  <c r="L91"/>
  <c r="L128" s="1"/>
  <c r="L130" s="1"/>
  <c r="L54"/>
  <c r="P22" i="8"/>
  <c r="O146" i="9"/>
  <c r="I146"/>
  <c r="J22" i="8"/>
  <c r="P54" i="9"/>
  <c r="P91"/>
  <c r="P128" s="1"/>
  <c r="P130" s="1"/>
  <c r="E91"/>
  <c r="E128" s="1"/>
  <c r="E130" s="1"/>
  <c r="E131" s="1"/>
  <c r="Y44"/>
  <c r="AA44" s="1"/>
  <c r="E54"/>
  <c r="N146"/>
  <c r="O22" i="8"/>
  <c r="F54" i="9"/>
  <c r="F91"/>
  <c r="F128" s="1"/>
  <c r="F130" s="1"/>
  <c r="K54"/>
  <c r="K91"/>
  <c r="K128" s="1"/>
  <c r="K130" s="1"/>
  <c r="M91"/>
  <c r="M128" s="1"/>
  <c r="M130" s="1"/>
  <c r="M54"/>
  <c r="V22" i="8"/>
  <c r="U146" i="9"/>
  <c r="Q146"/>
  <c r="R22" i="8"/>
  <c r="S22"/>
  <c r="R146" i="9"/>
  <c r="T91"/>
  <c r="T128" s="1"/>
  <c r="T130" s="1"/>
  <c r="T54"/>
  <c r="L146"/>
  <c r="M22" i="8"/>
  <c r="O91" i="9"/>
  <c r="O128" s="1"/>
  <c r="O130" s="1"/>
  <c r="O54"/>
  <c r="W91"/>
  <c r="W128" s="1"/>
  <c r="W130" s="1"/>
  <c r="W54"/>
  <c r="Y45"/>
  <c r="AA45" s="1"/>
  <c r="AA141"/>
  <c r="E146"/>
  <c r="F22" i="8"/>
  <c r="N22"/>
  <c r="M146" i="9"/>
  <c r="J91"/>
  <c r="J128" s="1"/>
  <c r="J130" s="1"/>
  <c r="J54"/>
  <c r="S54"/>
  <c r="S91"/>
  <c r="S128" s="1"/>
  <c r="S130" s="1"/>
  <c r="H54"/>
  <c r="H91"/>
  <c r="H128" s="1"/>
  <c r="H130" s="1"/>
  <c r="T146"/>
  <c r="U22" i="8"/>
  <c r="E55" i="9" l="1"/>
  <c r="F55" s="1"/>
  <c r="G55" s="1"/>
  <c r="H55" s="1"/>
  <c r="I55" s="1"/>
  <c r="J55" s="1"/>
  <c r="K55" s="1"/>
  <c r="L55" s="1"/>
  <c r="M55" s="1"/>
  <c r="N55" s="1"/>
  <c r="O55" s="1"/>
  <c r="P55" s="1"/>
  <c r="Q55" s="1"/>
  <c r="R55" s="1"/>
  <c r="S55" s="1"/>
  <c r="T55" s="1"/>
  <c r="U55" s="1"/>
  <c r="V55" s="1"/>
  <c r="W55" s="1"/>
  <c r="X55" s="1"/>
  <c r="B54"/>
  <c r="AA146"/>
  <c r="U40" i="8"/>
  <c r="N40"/>
  <c r="F40"/>
  <c r="I40"/>
  <c r="Q40"/>
  <c r="R40"/>
  <c r="P40"/>
  <c r="T40"/>
  <c r="L40"/>
  <c r="F131" i="9"/>
  <c r="G131" s="1"/>
  <c r="H131" s="1"/>
  <c r="I131" s="1"/>
  <c r="J131" s="1"/>
  <c r="K131" s="1"/>
  <c r="L131" s="1"/>
  <c r="M131" s="1"/>
  <c r="N131" s="1"/>
  <c r="O131" s="1"/>
  <c r="P131" s="1"/>
  <c r="Q131" s="1"/>
  <c r="R131" s="1"/>
  <c r="S131" s="1"/>
  <c r="T131" s="1"/>
  <c r="U131" s="1"/>
  <c r="V131" s="1"/>
  <c r="W131" s="1"/>
  <c r="X131" s="1"/>
  <c r="M40" i="8"/>
  <c r="S40"/>
  <c r="V40"/>
  <c r="O40"/>
  <c r="Y54" i="9"/>
  <c r="AA54" s="1"/>
  <c r="Y91"/>
  <c r="Y128" s="1"/>
  <c r="Y131" s="1"/>
  <c r="J40" i="8"/>
  <c r="H40"/>
  <c r="W40"/>
  <c r="G40"/>
  <c r="K40"/>
  <c r="X40"/>
  <c r="C10" i="9" l="1"/>
  <c r="AA40" i="8"/>
  <c r="S45"/>
  <c r="P45"/>
  <c r="Q45"/>
  <c r="W45"/>
  <c r="J45"/>
  <c r="O45"/>
  <c r="F45"/>
  <c r="U45"/>
  <c r="X45"/>
  <c r="K45"/>
  <c r="G45"/>
  <c r="V45"/>
  <c r="M45"/>
  <c r="L45"/>
  <c r="R45"/>
  <c r="I45"/>
  <c r="H45"/>
  <c r="T45"/>
  <c r="N45"/>
  <c r="AA45" l="1"/>
  <c r="G15" l="1"/>
  <c r="G33" s="1"/>
  <c r="G51" s="1"/>
  <c r="X16"/>
  <c r="X34" s="1"/>
  <c r="H15"/>
  <c r="S16"/>
  <c r="R16"/>
  <c r="R34" s="1"/>
  <c r="R52" s="1"/>
  <c r="L16"/>
  <c r="L34" s="1"/>
  <c r="L52" s="1"/>
  <c r="F15"/>
  <c r="Q15"/>
  <c r="X15"/>
  <c r="X33" s="1"/>
  <c r="N15"/>
  <c r="N33" s="1"/>
  <c r="N51" s="1"/>
  <c r="W16"/>
  <c r="T16"/>
  <c r="U15"/>
  <c r="U33" s="1"/>
  <c r="U51" s="1"/>
  <c r="M15"/>
  <c r="I15"/>
  <c r="I16"/>
  <c r="E15"/>
  <c r="H16"/>
  <c r="H34" s="1"/>
  <c r="H52" s="1"/>
  <c r="Q16"/>
  <c r="V16"/>
  <c r="O15"/>
  <c r="O33" s="1"/>
  <c r="O51" s="1"/>
  <c r="K16"/>
  <c r="K34" s="1"/>
  <c r="K52" s="1"/>
  <c r="J16"/>
  <c r="M16"/>
  <c r="L15"/>
  <c r="L33" s="1"/>
  <c r="L51" s="1"/>
  <c r="V15"/>
  <c r="V33" s="1"/>
  <c r="V51" s="1"/>
  <c r="U16"/>
  <c r="S15"/>
  <c r="P16"/>
  <c r="K15"/>
  <c r="J15"/>
  <c r="G16"/>
  <c r="O16"/>
  <c r="O34" s="1"/>
  <c r="O52" s="1"/>
  <c r="R15"/>
  <c r="R33" s="1"/>
  <c r="R51" s="1"/>
  <c r="F16"/>
  <c r="T15"/>
  <c r="E16"/>
  <c r="E34" s="1"/>
  <c r="E52" s="1"/>
  <c r="N16"/>
  <c r="W15"/>
  <c r="P15"/>
  <c r="P33" s="1"/>
  <c r="P51" s="1"/>
  <c r="O14"/>
  <c r="O32" s="1"/>
  <c r="O50" s="1"/>
  <c r="X14"/>
  <c r="X32" s="1"/>
  <c r="V14"/>
  <c r="N14"/>
  <c r="P14"/>
  <c r="P32" s="1"/>
  <c r="P50" s="1"/>
  <c r="R14"/>
  <c r="R32" s="1"/>
  <c r="R50" s="1"/>
  <c r="F14"/>
  <c r="H14"/>
  <c r="H32" s="1"/>
  <c r="H50" s="1"/>
  <c r="E14"/>
  <c r="M14"/>
  <c r="M32" s="1"/>
  <c r="M50" s="1"/>
  <c r="T14"/>
  <c r="L14"/>
  <c r="U14"/>
  <c r="U32" s="1"/>
  <c r="U50" s="1"/>
  <c r="G14"/>
  <c r="Q14"/>
  <c r="S14"/>
  <c r="J14"/>
  <c r="J32" s="1"/>
  <c r="J50" s="1"/>
  <c r="K14"/>
  <c r="K32" s="1"/>
  <c r="K50" s="1"/>
  <c r="W14"/>
  <c r="I14"/>
  <c r="E32"/>
  <c r="E50" s="1"/>
  <c r="H33"/>
  <c r="H51" s="1"/>
  <c r="S34"/>
  <c r="S52" s="1"/>
  <c r="V32"/>
  <c r="V50" s="1"/>
  <c r="F33"/>
  <c r="F51" s="1"/>
  <c r="Q33"/>
  <c r="Q51" s="1"/>
  <c r="W34"/>
  <c r="W52" s="1"/>
  <c r="N32"/>
  <c r="N50" s="1"/>
  <c r="T34"/>
  <c r="T52" s="1"/>
  <c r="M33"/>
  <c r="M51" s="1"/>
  <c r="I33"/>
  <c r="I51" s="1"/>
  <c r="I34"/>
  <c r="I52" s="1"/>
  <c r="E33"/>
  <c r="E51" s="1"/>
  <c r="F32"/>
  <c r="F50" s="1"/>
  <c r="Q34"/>
  <c r="Q52" s="1"/>
  <c r="V34"/>
  <c r="V52" s="1"/>
  <c r="J34"/>
  <c r="J52" s="1"/>
  <c r="M34"/>
  <c r="M52" s="1"/>
  <c r="T32"/>
  <c r="T50" s="1"/>
  <c r="L32"/>
  <c r="L50" s="1"/>
  <c r="U34"/>
  <c r="U52" s="1"/>
  <c r="S33"/>
  <c r="S51" s="1"/>
  <c r="P34"/>
  <c r="P52" s="1"/>
  <c r="K33"/>
  <c r="K51" s="1"/>
  <c r="J33"/>
  <c r="J51" s="1"/>
  <c r="G34"/>
  <c r="G52" s="1"/>
  <c r="G32"/>
  <c r="G50" s="1"/>
  <c r="Q32"/>
  <c r="Q50" s="1"/>
  <c r="F34"/>
  <c r="F52" s="1"/>
  <c r="T33"/>
  <c r="T51" s="1"/>
  <c r="S32"/>
  <c r="S50" s="1"/>
  <c r="N34"/>
  <c r="N52" s="1"/>
  <c r="W33"/>
  <c r="W51" s="1"/>
  <c r="W32"/>
  <c r="W50" s="1"/>
  <c r="I32"/>
  <c r="I50" s="1"/>
  <c r="K18" l="1"/>
  <c r="K27" s="1"/>
  <c r="K31"/>
  <c r="G65"/>
  <c r="M7" i="18" s="1"/>
  <c r="G68" i="8"/>
  <c r="M10" i="18" s="1"/>
  <c r="G66" i="8"/>
  <c r="M8" i="18" s="1"/>
  <c r="G67" i="8"/>
  <c r="M9" i="18" s="1"/>
  <c r="T67" i="8"/>
  <c r="Z9" i="18" s="1"/>
  <c r="T66" i="8"/>
  <c r="Z8" i="18" s="1"/>
  <c r="T68" i="8"/>
  <c r="Z10" i="18" s="1"/>
  <c r="T65" i="8"/>
  <c r="Z7" i="18" s="1"/>
  <c r="U18" i="8"/>
  <c r="U27" s="1"/>
  <c r="U31"/>
  <c r="P66"/>
  <c r="V8" i="18" s="1"/>
  <c r="P67" i="8"/>
  <c r="V9" i="18" s="1"/>
  <c r="P65" i="8"/>
  <c r="V7" i="18" s="1"/>
  <c r="P68" i="8"/>
  <c r="V10" i="18" s="1"/>
  <c r="AA32" i="8"/>
  <c r="X50"/>
  <c r="T18"/>
  <c r="T27" s="1"/>
  <c r="T31"/>
  <c r="W68"/>
  <c r="AC10" i="18" s="1"/>
  <c r="W65" i="8"/>
  <c r="AC7" i="18" s="1"/>
  <c r="W67" i="8"/>
  <c r="AC9" i="18" s="1"/>
  <c r="W66" i="8"/>
  <c r="AC8" i="18" s="1"/>
  <c r="K66" i="8"/>
  <c r="Q8" i="18" s="1"/>
  <c r="K67" i="8"/>
  <c r="Q9" i="18" s="1"/>
  <c r="K68" i="8"/>
  <c r="Q10" i="18" s="1"/>
  <c r="K65" i="8"/>
  <c r="Q7" i="18" s="1"/>
  <c r="F18" i="8"/>
  <c r="F27" s="1"/>
  <c r="F31"/>
  <c r="J18"/>
  <c r="J27" s="1"/>
  <c r="J31"/>
  <c r="I18"/>
  <c r="I27" s="1"/>
  <c r="I31"/>
  <c r="Q18"/>
  <c r="Q27" s="1"/>
  <c r="Q31"/>
  <c r="U66"/>
  <c r="AA8" i="18" s="1"/>
  <c r="U65" i="8"/>
  <c r="AA7" i="18" s="1"/>
  <c r="U68" i="8"/>
  <c r="AA10" i="18" s="1"/>
  <c r="U67" i="8"/>
  <c r="AA9" i="18" s="1"/>
  <c r="L65" i="8"/>
  <c r="R7" i="18" s="1"/>
  <c r="L66" i="8"/>
  <c r="R8" i="18" s="1"/>
  <c r="L68" i="8"/>
  <c r="R10" i="18" s="1"/>
  <c r="L67" i="8"/>
  <c r="R9" i="18" s="1"/>
  <c r="H18" i="8"/>
  <c r="H27" s="1"/>
  <c r="H31"/>
  <c r="P18"/>
  <c r="P27" s="1"/>
  <c r="P31"/>
  <c r="G18"/>
  <c r="G27" s="1"/>
  <c r="G31"/>
  <c r="N18"/>
  <c r="N27" s="1"/>
  <c r="N31"/>
  <c r="M18"/>
  <c r="M27" s="1"/>
  <c r="M31"/>
  <c r="AA34"/>
  <c r="X52"/>
  <c r="O18"/>
  <c r="O27" s="1"/>
  <c r="O31"/>
  <c r="J68"/>
  <c r="P10" i="18" s="1"/>
  <c r="J65" i="8"/>
  <c r="P7" i="18" s="1"/>
  <c r="J67" i="8"/>
  <c r="P9" i="18" s="1"/>
  <c r="J66" i="8"/>
  <c r="P8" i="18" s="1"/>
  <c r="Q68" i="8"/>
  <c r="W10" i="18" s="1"/>
  <c r="Q66" i="8"/>
  <c r="W8" i="18" s="1"/>
  <c r="Q67" i="8"/>
  <c r="W9" i="18" s="1"/>
  <c r="Q65" i="8"/>
  <c r="W7" i="18" s="1"/>
  <c r="R68" i="8"/>
  <c r="X10" i="18" s="1"/>
  <c r="R66" i="8"/>
  <c r="X8" i="18" s="1"/>
  <c r="R65" i="8"/>
  <c r="X7" i="18" s="1"/>
  <c r="R67" i="8"/>
  <c r="X9" i="18" s="1"/>
  <c r="R18" i="8"/>
  <c r="R27" s="1"/>
  <c r="R31"/>
  <c r="V67"/>
  <c r="AB9" i="18" s="1"/>
  <c r="V65" i="8"/>
  <c r="AB7" i="18" s="1"/>
  <c r="V66" i="8"/>
  <c r="AB8" i="18" s="1"/>
  <c r="V68" i="8"/>
  <c r="AB10" i="18" s="1"/>
  <c r="O65" i="8"/>
  <c r="U7" i="18" s="1"/>
  <c r="O66" i="8"/>
  <c r="U8" i="18" s="1"/>
  <c r="O68" i="8"/>
  <c r="U10" i="18" s="1"/>
  <c r="O67" i="8"/>
  <c r="U9" i="18" s="1"/>
  <c r="L18" i="8"/>
  <c r="L27" s="1"/>
  <c r="L31"/>
  <c r="X18"/>
  <c r="X27" s="1"/>
  <c r="X31"/>
  <c r="E68"/>
  <c r="E66"/>
  <c r="E67"/>
  <c r="E65"/>
  <c r="AA50"/>
  <c r="W18"/>
  <c r="W27" s="1"/>
  <c r="W31"/>
  <c r="I66"/>
  <c r="O8" i="18" s="1"/>
  <c r="I68" i="8"/>
  <c r="O10" i="18" s="1"/>
  <c r="I67" i="8"/>
  <c r="O9" i="18" s="1"/>
  <c r="I65" i="8"/>
  <c r="O7" i="18" s="1"/>
  <c r="S66" i="8"/>
  <c r="Y8" i="18" s="1"/>
  <c r="S65" i="8"/>
  <c r="Y7" i="18" s="1"/>
  <c r="S67" i="8"/>
  <c r="Y9" i="18" s="1"/>
  <c r="S68" i="8"/>
  <c r="Y10" i="18" s="1"/>
  <c r="S18" i="8"/>
  <c r="S27" s="1"/>
  <c r="S31"/>
  <c r="M65"/>
  <c r="S7" i="18" s="1"/>
  <c r="M67" i="8"/>
  <c r="S9" i="18" s="1"/>
  <c r="M66" i="8"/>
  <c r="S8" i="18" s="1"/>
  <c r="M68" i="8"/>
  <c r="S10" i="18" s="1"/>
  <c r="H66" i="8"/>
  <c r="N8" i="18" s="1"/>
  <c r="H68" i="8"/>
  <c r="N10" i="18" s="1"/>
  <c r="H67" i="8"/>
  <c r="N9" i="18" s="1"/>
  <c r="H65" i="8"/>
  <c r="N7" i="18" s="1"/>
  <c r="V18" i="8"/>
  <c r="V27" s="1"/>
  <c r="V31"/>
  <c r="F67"/>
  <c r="L9" i="18" s="1"/>
  <c r="F68" i="8"/>
  <c r="L10" i="18" s="1"/>
  <c r="F66" i="8"/>
  <c r="L8" i="18" s="1"/>
  <c r="F65" i="8"/>
  <c r="L7" i="18" s="1"/>
  <c r="N67" i="8"/>
  <c r="T9" i="18" s="1"/>
  <c r="N68" i="8"/>
  <c r="T10" i="18" s="1"/>
  <c r="N65" i="8"/>
  <c r="T7" i="18" s="1"/>
  <c r="N66" i="8"/>
  <c r="T8" i="18" s="1"/>
  <c r="AA33" i="8"/>
  <c r="X51"/>
  <c r="AA51" s="1"/>
  <c r="AA52"/>
  <c r="AB52" s="1"/>
  <c r="E18"/>
  <c r="E27" s="1"/>
  <c r="E31"/>
  <c r="Y68" l="1"/>
  <c r="AE10" i="18" s="1"/>
  <c r="Y65" i="8"/>
  <c r="AE7" i="18" s="1"/>
  <c r="Y66" i="8"/>
  <c r="AE8" i="18" s="1"/>
  <c r="Y67" i="8"/>
  <c r="AE9" i="18" s="1"/>
  <c r="K10"/>
  <c r="G36" i="8"/>
  <c r="G49"/>
  <c r="H36"/>
  <c r="H49"/>
  <c r="I36"/>
  <c r="I49"/>
  <c r="X68"/>
  <c r="AD10" i="18" s="1"/>
  <c r="X65" i="8"/>
  <c r="AD7" i="18" s="1"/>
  <c r="X66" i="8"/>
  <c r="AD8" i="18" s="1"/>
  <c r="X67" i="8"/>
  <c r="AD9" i="18" s="1"/>
  <c r="K36" i="8"/>
  <c r="K49"/>
  <c r="K8" i="18"/>
  <c r="L36" i="8"/>
  <c r="L49"/>
  <c r="O36"/>
  <c r="O49"/>
  <c r="K7" i="18"/>
  <c r="X36" i="8"/>
  <c r="AA31"/>
  <c r="X49"/>
  <c r="R36"/>
  <c r="R49"/>
  <c r="S36"/>
  <c r="S49"/>
  <c r="M36"/>
  <c r="M49"/>
  <c r="F36"/>
  <c r="F49"/>
  <c r="V36"/>
  <c r="V49"/>
  <c r="W36"/>
  <c r="W49"/>
  <c r="K9" i="18"/>
  <c r="N36" i="8"/>
  <c r="N49"/>
  <c r="P36"/>
  <c r="P49"/>
  <c r="Q36"/>
  <c r="Q49"/>
  <c r="J36"/>
  <c r="J49"/>
  <c r="T36"/>
  <c r="T49"/>
  <c r="U36"/>
  <c r="U49"/>
  <c r="AB51"/>
  <c r="AB50"/>
  <c r="E36"/>
  <c r="E49"/>
  <c r="AA67" l="1"/>
  <c r="AA65"/>
  <c r="AA68"/>
  <c r="L63"/>
  <c r="R5" i="18" s="1"/>
  <c r="L64" i="8"/>
  <c r="R6" i="18" s="1"/>
  <c r="L54" i="8"/>
  <c r="L61"/>
  <c r="L62"/>
  <c r="R4" i="18" s="1"/>
  <c r="T61" i="8"/>
  <c r="T63"/>
  <c r="Z5" i="18" s="1"/>
  <c r="T64" i="8"/>
  <c r="Z6" i="18" s="1"/>
  <c r="T62" i="8"/>
  <c r="Z4" i="18" s="1"/>
  <c r="T54" i="8"/>
  <c r="Q64"/>
  <c r="W6" i="18" s="1"/>
  <c r="Q63" i="8"/>
  <c r="W5" i="18" s="1"/>
  <c r="Q61" i="8"/>
  <c r="Q62"/>
  <c r="W4" i="18" s="1"/>
  <c r="Q54" i="8"/>
  <c r="N63"/>
  <c r="T5" i="18" s="1"/>
  <c r="N61" i="8"/>
  <c r="N62"/>
  <c r="T4" i="18" s="1"/>
  <c r="N54" i="8"/>
  <c r="N64"/>
  <c r="T6" i="18" s="1"/>
  <c r="W54" i="8"/>
  <c r="W61"/>
  <c r="W62"/>
  <c r="AC4" i="18" s="1"/>
  <c r="W63" i="8"/>
  <c r="AC5" i="18" s="1"/>
  <c r="W64" i="8"/>
  <c r="AC6" i="18" s="1"/>
  <c r="F61" i="8"/>
  <c r="F63"/>
  <c r="L5" i="18" s="1"/>
  <c r="F62" i="8"/>
  <c r="L4" i="18" s="1"/>
  <c r="F64" i="8"/>
  <c r="L6" i="18" s="1"/>
  <c r="F54" i="8"/>
  <c r="S64"/>
  <c r="Y6" i="18" s="1"/>
  <c r="S63" i="8"/>
  <c r="Y5" i="18" s="1"/>
  <c r="S61" i="8"/>
  <c r="S62"/>
  <c r="Y4" i="18" s="1"/>
  <c r="S54" i="8"/>
  <c r="X61"/>
  <c r="X62"/>
  <c r="AD4" i="18" s="1"/>
  <c r="X64" i="8"/>
  <c r="AD6" i="18" s="1"/>
  <c r="X63" i="8"/>
  <c r="AD5" i="18" s="1"/>
  <c r="X54" i="8"/>
  <c r="K62"/>
  <c r="Q4" i="18" s="1"/>
  <c r="K54" i="8"/>
  <c r="K64"/>
  <c r="Q6" i="18" s="1"/>
  <c r="K61" i="8"/>
  <c r="K63"/>
  <c r="Q5" i="18" s="1"/>
  <c r="H63" i="8"/>
  <c r="N5" i="18" s="1"/>
  <c r="H61" i="8"/>
  <c r="H62"/>
  <c r="N4" i="18" s="1"/>
  <c r="H64" i="8"/>
  <c r="N6" i="18" s="1"/>
  <c r="H54" i="8"/>
  <c r="U64"/>
  <c r="AA6" i="18" s="1"/>
  <c r="U54" i="8"/>
  <c r="U61"/>
  <c r="U62"/>
  <c r="AA4" i="18" s="1"/>
  <c r="U63" i="8"/>
  <c r="AA5" i="18" s="1"/>
  <c r="J63" i="8"/>
  <c r="P5" i="18" s="1"/>
  <c r="J54" i="8"/>
  <c r="J62"/>
  <c r="P4" i="18" s="1"/>
  <c r="J64" i="8"/>
  <c r="P6" i="18" s="1"/>
  <c r="J61" i="8"/>
  <c r="P61"/>
  <c r="P62"/>
  <c r="V4" i="18" s="1"/>
  <c r="P54" i="8"/>
  <c r="P63"/>
  <c r="V5" i="18" s="1"/>
  <c r="P64" i="8"/>
  <c r="V6" i="18" s="1"/>
  <c r="V63" i="8"/>
  <c r="AB5" i="18" s="1"/>
  <c r="V61" i="8"/>
  <c r="V62"/>
  <c r="AB4" i="18" s="1"/>
  <c r="V64" i="8"/>
  <c r="AB6" i="18" s="1"/>
  <c r="V54" i="8"/>
  <c r="M54"/>
  <c r="M64"/>
  <c r="S6" i="18" s="1"/>
  <c r="M63" i="8"/>
  <c r="S5" i="18" s="1"/>
  <c r="M62" i="8"/>
  <c r="S4" i="18" s="1"/>
  <c r="M61" i="8"/>
  <c r="R61"/>
  <c r="R64"/>
  <c r="X6" i="18" s="1"/>
  <c r="R62" i="8"/>
  <c r="X4" i="18" s="1"/>
  <c r="R54" i="8"/>
  <c r="R63"/>
  <c r="X5" i="18" s="1"/>
  <c r="AA36" i="8"/>
  <c r="Y63"/>
  <c r="AE5" i="18" s="1"/>
  <c r="Y61" i="8"/>
  <c r="Y64"/>
  <c r="AE6" i="18" s="1"/>
  <c r="Y62" i="8"/>
  <c r="AE4" i="18" s="1"/>
  <c r="O54" i="8"/>
  <c r="O62"/>
  <c r="U4" i="18" s="1"/>
  <c r="O64" i="8"/>
  <c r="U6" i="18" s="1"/>
  <c r="O61" i="8"/>
  <c r="O63"/>
  <c r="U5" i="18" s="1"/>
  <c r="I61" i="8"/>
  <c r="I63"/>
  <c r="O5" i="18" s="1"/>
  <c r="I62" i="8"/>
  <c r="O4" i="18" s="1"/>
  <c r="I54" i="8"/>
  <c r="I64"/>
  <c r="O6" i="18" s="1"/>
  <c r="G62" i="8"/>
  <c r="M4" i="18" s="1"/>
  <c r="G63" i="8"/>
  <c r="M5" i="18" s="1"/>
  <c r="G64" i="8"/>
  <c r="M6" i="18" s="1"/>
  <c r="G61" i="8"/>
  <c r="G54"/>
  <c r="AA66"/>
  <c r="E62"/>
  <c r="E64"/>
  <c r="E54"/>
  <c r="E61"/>
  <c r="E63"/>
  <c r="AA49"/>
  <c r="AB49" s="1"/>
  <c r="U3" i="18" l="1"/>
  <c r="O109" i="8"/>
  <c r="O146" s="1"/>
  <c r="O148" s="1"/>
  <c r="O71"/>
  <c r="P71"/>
  <c r="P109"/>
  <c r="P146" s="1"/>
  <c r="P148" s="1"/>
  <c r="V3" i="18"/>
  <c r="S71" i="8"/>
  <c r="S109"/>
  <c r="S146" s="1"/>
  <c r="S148" s="1"/>
  <c r="Y3" i="18"/>
  <c r="Q71" i="8"/>
  <c r="W3" i="18"/>
  <c r="Q109" i="8"/>
  <c r="Q146" s="1"/>
  <c r="Q148" s="1"/>
  <c r="F71"/>
  <c r="L3" i="18"/>
  <c r="F109" i="8"/>
  <c r="F146" s="1"/>
  <c r="F148" s="1"/>
  <c r="W109"/>
  <c r="W146" s="1"/>
  <c r="W148" s="1"/>
  <c r="AC3" i="18"/>
  <c r="W71" i="8"/>
  <c r="T71"/>
  <c r="Z3" i="18"/>
  <c r="T109" i="8"/>
  <c r="T146" s="1"/>
  <c r="T148" s="1"/>
  <c r="G71"/>
  <c r="M3" i="18"/>
  <c r="G109" i="8"/>
  <c r="G146" s="1"/>
  <c r="G148" s="1"/>
  <c r="I71"/>
  <c r="I109"/>
  <c r="I146" s="1"/>
  <c r="I148" s="1"/>
  <c r="O3" i="18"/>
  <c r="AE3"/>
  <c r="Y71" i="8"/>
  <c r="Y109"/>
  <c r="Y146" s="1"/>
  <c r="Y149" s="1"/>
  <c r="S3" i="18"/>
  <c r="M109" i="8"/>
  <c r="M146" s="1"/>
  <c r="M148" s="1"/>
  <c r="M71"/>
  <c r="AB3" i="18"/>
  <c r="V71" i="8"/>
  <c r="V109"/>
  <c r="V146" s="1"/>
  <c r="V148" s="1"/>
  <c r="H109"/>
  <c r="H146" s="1"/>
  <c r="H148" s="1"/>
  <c r="H71"/>
  <c r="N3" i="18"/>
  <c r="U71" i="8"/>
  <c r="AA3" i="18"/>
  <c r="U109" i="8"/>
  <c r="U146" s="1"/>
  <c r="U148" s="1"/>
  <c r="T3" i="18"/>
  <c r="N71" i="8"/>
  <c r="N109"/>
  <c r="N146" s="1"/>
  <c r="N148" s="1"/>
  <c r="R109"/>
  <c r="R146" s="1"/>
  <c r="R148" s="1"/>
  <c r="R71"/>
  <c r="X3" i="18"/>
  <c r="J109" i="8"/>
  <c r="J146" s="1"/>
  <c r="J148" s="1"/>
  <c r="J71"/>
  <c r="P3" i="18"/>
  <c r="K71" i="8"/>
  <c r="Q3" i="18"/>
  <c r="K109" i="8"/>
  <c r="K146" s="1"/>
  <c r="K148" s="1"/>
  <c r="X109"/>
  <c r="X146" s="1"/>
  <c r="X148" s="1"/>
  <c r="X71"/>
  <c r="AD3" i="18"/>
  <c r="L71" i="8"/>
  <c r="L109"/>
  <c r="L146" s="1"/>
  <c r="L148" s="1"/>
  <c r="R3" i="18"/>
  <c r="AA54" i="8"/>
  <c r="K6" i="18"/>
  <c r="AA64" i="8"/>
  <c r="K5" i="18"/>
  <c r="AA63" i="8"/>
  <c r="K4" i="18"/>
  <c r="AA62" i="8"/>
  <c r="E71"/>
  <c r="K3" i="18"/>
  <c r="E72" i="8"/>
  <c r="E109"/>
  <c r="AA61"/>
  <c r="F72" l="1"/>
  <c r="G72" s="1"/>
  <c r="H72" s="1"/>
  <c r="I72" s="1"/>
  <c r="J72" s="1"/>
  <c r="K72" s="1"/>
  <c r="L72" s="1"/>
  <c r="M72" s="1"/>
  <c r="N72" s="1"/>
  <c r="O72" s="1"/>
  <c r="P72" s="1"/>
  <c r="Q72" s="1"/>
  <c r="R72" s="1"/>
  <c r="S72" s="1"/>
  <c r="T72" s="1"/>
  <c r="U72" s="1"/>
  <c r="V72" s="1"/>
  <c r="W72" s="1"/>
  <c r="X72" s="1"/>
  <c r="E146"/>
  <c r="E148" s="1"/>
  <c r="E149" s="1"/>
  <c r="F149" s="1"/>
  <c r="G149" s="1"/>
  <c r="H149" s="1"/>
  <c r="I149" s="1"/>
  <c r="J149" s="1"/>
  <c r="K149" s="1"/>
  <c r="L149" s="1"/>
  <c r="M149" s="1"/>
  <c r="N149" s="1"/>
  <c r="O149" s="1"/>
  <c r="P149" s="1"/>
  <c r="Q149" s="1"/>
  <c r="R149" s="1"/>
  <c r="S149" s="1"/>
  <c r="T149" s="1"/>
  <c r="U149" s="1"/>
  <c r="V149" s="1"/>
  <c r="W149" s="1"/>
  <c r="X149" s="1"/>
  <c r="E111"/>
  <c r="F111" s="1"/>
  <c r="G111" s="1"/>
  <c r="H111" s="1"/>
  <c r="I111" s="1"/>
  <c r="J111" s="1"/>
  <c r="K111" s="1"/>
  <c r="L111" s="1"/>
  <c r="M111" s="1"/>
  <c r="N111" s="1"/>
  <c r="O111" s="1"/>
  <c r="P111" s="1"/>
  <c r="Q111" s="1"/>
  <c r="R111" s="1"/>
  <c r="S111" s="1"/>
  <c r="T111" s="1"/>
  <c r="U111" s="1"/>
  <c r="V111" s="1"/>
  <c r="W111" s="1"/>
  <c r="X111" s="1"/>
  <c r="AA71"/>
  <c r="C10"/>
  <c r="B71"/>
</calcChain>
</file>

<file path=xl/comments1.xml><?xml version="1.0" encoding="utf-8"?>
<comments xmlns="http://schemas.openxmlformats.org/spreadsheetml/2006/main">
  <authors>
    <author>Tina Jayaweera</author>
  </authors>
  <commentList>
    <comment ref="E21" authorId="0">
      <text>
        <r>
          <rPr>
            <b/>
            <sz val="9"/>
            <color indexed="81"/>
            <rFont val="Tahoma"/>
            <family val="2"/>
          </rPr>
          <t>Tina Jayaweera:</t>
        </r>
        <r>
          <rPr>
            <sz val="9"/>
            <color indexed="81"/>
            <rFont val="Tahoma"/>
            <family val="2"/>
          </rPr>
          <t xml:space="preserve">
Homes built in 2016 won't become eligible until 2017</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9"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9"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9"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Tina Jayaweera</author>
  </authors>
  <commentList>
    <comment ref="J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8" authorId="1">
      <text>
        <r>
          <rPr>
            <b/>
            <sz val="9"/>
            <color indexed="81"/>
            <rFont val="Tahoma"/>
            <family val="2"/>
          </rPr>
          <t>Tina Jayaweera:</t>
        </r>
        <r>
          <rPr>
            <sz val="9"/>
            <color indexed="81"/>
            <rFont val="Tahoma"/>
            <family val="2"/>
          </rPr>
          <t xml:space="preserve">
From 6P, references not provided</t>
        </r>
      </text>
    </comment>
    <comment ref="K8" authorId="1">
      <text>
        <r>
          <rPr>
            <b/>
            <sz val="9"/>
            <color indexed="81"/>
            <rFont val="Tahoma"/>
            <family val="2"/>
          </rPr>
          <t>Tina Jayaweera:</t>
        </r>
        <r>
          <rPr>
            <sz val="9"/>
            <color indexed="81"/>
            <rFont val="Tahoma"/>
            <family val="2"/>
          </rPr>
          <t xml:space="preserve">
From 6P, references not provided</t>
        </r>
      </text>
    </comment>
    <comment ref="L8" authorId="1">
      <text>
        <r>
          <rPr>
            <b/>
            <sz val="9"/>
            <color indexed="81"/>
            <rFont val="Tahoma"/>
            <family val="2"/>
          </rPr>
          <t>Tina Jayaweera:</t>
        </r>
        <r>
          <rPr>
            <sz val="9"/>
            <color indexed="81"/>
            <rFont val="Tahoma"/>
            <family val="2"/>
          </rPr>
          <t xml:space="preserve">
From 6P, references not provided</t>
        </r>
      </text>
    </comment>
    <comment ref="M8" authorId="1">
      <text>
        <r>
          <rPr>
            <b/>
            <sz val="9"/>
            <color indexed="81"/>
            <rFont val="Tahoma"/>
            <family val="2"/>
          </rPr>
          <t>Tina Jayaweera:</t>
        </r>
        <r>
          <rPr>
            <sz val="9"/>
            <color indexed="81"/>
            <rFont val="Tahoma"/>
            <family val="2"/>
          </rPr>
          <t xml:space="preserve">
From 6P, references not provided</t>
        </r>
      </text>
    </comment>
    <comment ref="J9" authorId="1">
      <text>
        <r>
          <rPr>
            <b/>
            <sz val="9"/>
            <color indexed="81"/>
            <rFont val="Tahoma"/>
            <family val="2"/>
          </rPr>
          <t>Tina Jayaweera:</t>
        </r>
        <r>
          <rPr>
            <sz val="9"/>
            <color indexed="81"/>
            <rFont val="Tahoma"/>
            <family val="2"/>
          </rPr>
          <t xml:space="preserve">
From 6P, references not provided</t>
        </r>
      </text>
    </comment>
    <comment ref="K9" authorId="1">
      <text>
        <r>
          <rPr>
            <b/>
            <sz val="9"/>
            <color indexed="81"/>
            <rFont val="Tahoma"/>
            <family val="2"/>
          </rPr>
          <t>Tina Jayaweera:</t>
        </r>
        <r>
          <rPr>
            <sz val="9"/>
            <color indexed="81"/>
            <rFont val="Tahoma"/>
            <family val="2"/>
          </rPr>
          <t xml:space="preserve">
From 6P, references not provided</t>
        </r>
      </text>
    </comment>
    <comment ref="L9" authorId="1">
      <text>
        <r>
          <rPr>
            <b/>
            <sz val="9"/>
            <color indexed="81"/>
            <rFont val="Tahoma"/>
            <family val="2"/>
          </rPr>
          <t>Tina Jayaweera:</t>
        </r>
        <r>
          <rPr>
            <sz val="9"/>
            <color indexed="81"/>
            <rFont val="Tahoma"/>
            <family val="2"/>
          </rPr>
          <t xml:space="preserve">
From 6P, references not provided</t>
        </r>
      </text>
    </comment>
    <comment ref="M9" authorId="1">
      <text>
        <r>
          <rPr>
            <b/>
            <sz val="9"/>
            <color indexed="81"/>
            <rFont val="Tahoma"/>
            <family val="2"/>
          </rPr>
          <t>Tina Jayaweera:</t>
        </r>
        <r>
          <rPr>
            <sz val="9"/>
            <color indexed="81"/>
            <rFont val="Tahoma"/>
            <family val="2"/>
          </rPr>
          <t xml:space="preserve">
From 6P, references not provided</t>
        </r>
      </text>
    </comment>
    <comment ref="J10" authorId="1">
      <text>
        <r>
          <rPr>
            <b/>
            <sz val="9"/>
            <color indexed="81"/>
            <rFont val="Tahoma"/>
            <family val="2"/>
          </rPr>
          <t>Tina Jayaweera:</t>
        </r>
        <r>
          <rPr>
            <sz val="9"/>
            <color indexed="81"/>
            <rFont val="Tahoma"/>
            <family val="2"/>
          </rPr>
          <t xml:space="preserve">
From 6P, references not provided</t>
        </r>
      </text>
    </comment>
    <comment ref="K10" authorId="1">
      <text>
        <r>
          <rPr>
            <b/>
            <sz val="9"/>
            <color indexed="81"/>
            <rFont val="Tahoma"/>
            <family val="2"/>
          </rPr>
          <t>Tina Jayaweera:</t>
        </r>
        <r>
          <rPr>
            <sz val="9"/>
            <color indexed="81"/>
            <rFont val="Tahoma"/>
            <family val="2"/>
          </rPr>
          <t xml:space="preserve">
From 6P, references not provided</t>
        </r>
      </text>
    </comment>
    <comment ref="L10" authorId="1">
      <text>
        <r>
          <rPr>
            <b/>
            <sz val="9"/>
            <color indexed="81"/>
            <rFont val="Tahoma"/>
            <family val="2"/>
          </rPr>
          <t>Tina Jayaweera:</t>
        </r>
        <r>
          <rPr>
            <sz val="9"/>
            <color indexed="81"/>
            <rFont val="Tahoma"/>
            <family val="2"/>
          </rPr>
          <t xml:space="preserve">
From 6P, references not provided</t>
        </r>
      </text>
    </comment>
    <comment ref="M10" authorId="1">
      <text>
        <r>
          <rPr>
            <b/>
            <sz val="9"/>
            <color indexed="81"/>
            <rFont val="Tahoma"/>
            <family val="2"/>
          </rPr>
          <t>Tina Jayaweera:</t>
        </r>
        <r>
          <rPr>
            <sz val="9"/>
            <color indexed="81"/>
            <rFont val="Tahoma"/>
            <family val="2"/>
          </rPr>
          <t xml:space="preserve">
From 6P, references not provided</t>
        </r>
      </text>
    </comment>
    <comment ref="J11" authorId="1">
      <text>
        <r>
          <rPr>
            <b/>
            <sz val="9"/>
            <color indexed="81"/>
            <rFont val="Tahoma"/>
            <family val="2"/>
          </rPr>
          <t>Tina Jayaweera:</t>
        </r>
        <r>
          <rPr>
            <sz val="9"/>
            <color indexed="81"/>
            <rFont val="Tahoma"/>
            <family val="2"/>
          </rPr>
          <t xml:space="preserve">
From 6P, references not provided</t>
        </r>
      </text>
    </comment>
    <comment ref="K11" authorId="1">
      <text>
        <r>
          <rPr>
            <b/>
            <sz val="9"/>
            <color indexed="81"/>
            <rFont val="Tahoma"/>
            <family val="2"/>
          </rPr>
          <t>Tina Jayaweera:</t>
        </r>
        <r>
          <rPr>
            <sz val="9"/>
            <color indexed="81"/>
            <rFont val="Tahoma"/>
            <family val="2"/>
          </rPr>
          <t xml:space="preserve">
From 6P, references not provided</t>
        </r>
      </text>
    </comment>
    <comment ref="L11" authorId="1">
      <text>
        <r>
          <rPr>
            <b/>
            <sz val="9"/>
            <color indexed="81"/>
            <rFont val="Tahoma"/>
            <family val="2"/>
          </rPr>
          <t>Tina Jayaweera:</t>
        </r>
        <r>
          <rPr>
            <sz val="9"/>
            <color indexed="81"/>
            <rFont val="Tahoma"/>
            <family val="2"/>
          </rPr>
          <t xml:space="preserve">
From 6P, references not provided</t>
        </r>
      </text>
    </comment>
    <comment ref="M11" authorId="1">
      <text>
        <r>
          <rPr>
            <b/>
            <sz val="9"/>
            <color indexed="81"/>
            <rFont val="Tahoma"/>
            <family val="2"/>
          </rPr>
          <t>Tina Jayaweera:</t>
        </r>
        <r>
          <rPr>
            <sz val="9"/>
            <color indexed="81"/>
            <rFont val="Tahoma"/>
            <family val="2"/>
          </rPr>
          <t xml:space="preserve">
From 6P, references not provided</t>
        </r>
      </text>
    </comment>
    <comment ref="J12" authorId="1">
      <text>
        <r>
          <rPr>
            <b/>
            <sz val="9"/>
            <color indexed="81"/>
            <rFont val="Tahoma"/>
            <family val="2"/>
          </rPr>
          <t>Tina Jayaweera:</t>
        </r>
        <r>
          <rPr>
            <sz val="9"/>
            <color indexed="81"/>
            <rFont val="Tahoma"/>
            <family val="2"/>
          </rPr>
          <t xml:space="preserve">
From 6P, references not provided</t>
        </r>
      </text>
    </comment>
    <comment ref="K12" authorId="1">
      <text>
        <r>
          <rPr>
            <b/>
            <sz val="9"/>
            <color indexed="81"/>
            <rFont val="Tahoma"/>
            <family val="2"/>
          </rPr>
          <t>Tina Jayaweera:</t>
        </r>
        <r>
          <rPr>
            <sz val="9"/>
            <color indexed="81"/>
            <rFont val="Tahoma"/>
            <family val="2"/>
          </rPr>
          <t xml:space="preserve">
From 6P, references not provided</t>
        </r>
      </text>
    </comment>
    <comment ref="L12" authorId="1">
      <text>
        <r>
          <rPr>
            <b/>
            <sz val="9"/>
            <color indexed="81"/>
            <rFont val="Tahoma"/>
            <family val="2"/>
          </rPr>
          <t>Tina Jayaweera:</t>
        </r>
        <r>
          <rPr>
            <sz val="9"/>
            <color indexed="81"/>
            <rFont val="Tahoma"/>
            <family val="2"/>
          </rPr>
          <t xml:space="preserve">
From 6P, references not provided</t>
        </r>
      </text>
    </comment>
    <comment ref="M12" authorId="1">
      <text>
        <r>
          <rPr>
            <b/>
            <sz val="9"/>
            <color indexed="81"/>
            <rFont val="Tahoma"/>
            <family val="2"/>
          </rPr>
          <t>Tina Jayaweera:</t>
        </r>
        <r>
          <rPr>
            <sz val="9"/>
            <color indexed="81"/>
            <rFont val="Tahoma"/>
            <family val="2"/>
          </rPr>
          <t xml:space="preserve">
From 6P, references not provided</t>
        </r>
      </text>
    </comment>
  </commentList>
</comments>
</file>

<file path=xl/sharedStrings.xml><?xml version="1.0" encoding="utf-8"?>
<sst xmlns="http://schemas.openxmlformats.org/spreadsheetml/2006/main" count="2001" uniqueCount="730">
  <si>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</si>
  <si>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</si>
  <si>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</si>
  <si>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</si>
  <si>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</si>
  <si>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</si>
  <si>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</si>
  <si>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</si>
  <si>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</si>
  <si>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</si>
  <si>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</si>
  <si>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</si>
  <si>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</si>
  <si>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</si>
  <si>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</si>
  <si>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</si>
  <si>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</si>
  <si>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</si>
  <si>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</si>
  <si>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</si>
  <si>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</si>
  <si>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</si>
  <si>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</si>
  <si>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</si>
  <si>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</si>
  <si>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</si>
  <si>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</si>
  <si>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</si>
  <si>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</si>
  <si>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</si>
  <si>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</si>
  <si>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</si>
  <si>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</si>
  <si>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</si>
  <si>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</si>
  <si>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</si>
  <si>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</si>
  <si>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</si>
  <si>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</si>
  <si>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</si>
  <si>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</si>
  <si>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</si>
  <si>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</si>
  <si>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</si>
  <si>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</si>
  <si>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</si>
  <si>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</si>
  <si>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</si>
  <si>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</si>
  <si>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</si>
  <si>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</si>
  <si>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</si>
  <si>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SF</t>
  </si>
  <si>
    <t>New</t>
  </si>
  <si>
    <t>Methodology</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</si>
  <si>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</si>
  <si>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</si>
  <si>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</si>
  <si>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</si>
  <si>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</si>
  <si>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</si>
  <si>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</si>
  <si>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</si>
  <si>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</si>
  <si>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</si>
  <si>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</si>
  <si>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</si>
  <si>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</si>
  <si>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</si>
  <si>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</si>
  <si>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</si>
  <si>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</si>
  <si>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</si>
  <si>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</si>
  <si>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</si>
  <si>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</si>
  <si>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</si>
  <si>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</si>
  <si>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</si>
  <si>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</si>
  <si>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</si>
  <si>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</si>
  <si>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</si>
  <si>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</si>
  <si>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</si>
  <si>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</si>
  <si>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</si>
  <si>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</si>
  <si>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</si>
  <si>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</si>
  <si>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</si>
  <si>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</si>
  <si>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</si>
  <si>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</si>
  <si>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</si>
  <si>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</si>
  <si>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</si>
  <si>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</si>
  <si>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</si>
  <si>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</si>
  <si>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</si>
  <si>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</si>
  <si>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</si>
  <si>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</si>
  <si>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</si>
  <si>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</si>
  <si>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</si>
  <si>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</si>
  <si>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</si>
  <si>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</si>
  <si>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</si>
  <si>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</si>
  <si>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</si>
  <si>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</si>
  <si>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</si>
  <si>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</si>
  <si>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</si>
  <si>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</si>
  <si>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</si>
  <si>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</si>
  <si>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</si>
  <si>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</si>
  <si>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</si>
  <si>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</si>
  <si>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</si>
  <si>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</si>
  <si>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</si>
  <si>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</si>
  <si>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</si>
  <si>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</si>
  <si>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</si>
  <si>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</si>
  <si>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&gt;200</t>
  </si>
  <si>
    <t>&lt;=9999</t>
  </si>
  <si>
    <t>RECOMBINE MEASURE BUNDLES INTO SUPPLY CURVE INCREMENTAL</t>
  </si>
  <si>
    <t>Total per Year</t>
  </si>
  <si>
    <t>Total Cumulative</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</si>
  <si>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</si>
  <si>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</si>
  <si>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</si>
  <si>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</si>
  <si>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</si>
  <si>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</si>
  <si>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</si>
  <si>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</si>
  <si>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 HOMES</t>
  </si>
  <si>
    <t>EXISTING HOMES</t>
  </si>
  <si>
    <t>UNTREATED NEW HOMES</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</si>
  <si>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</si>
  <si>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</si>
  <si>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</si>
  <si>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</si>
  <si>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</si>
  <si>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</si>
  <si>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</si>
  <si>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</si>
  <si>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</si>
  <si>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</si>
  <si>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</si>
  <si>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</si>
  <si>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</si>
  <si>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</si>
  <si>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</si>
  <si>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</si>
  <si>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Savings Shape</t>
  </si>
  <si>
    <t>Achievable Ramp Rate</t>
  </si>
  <si>
    <t>Retro or LO</t>
  </si>
  <si>
    <t>Early Retrofit Parameters</t>
  </si>
  <si>
    <t>R or L</t>
  </si>
  <si>
    <t>Savings 2
(kWh)</t>
  </si>
  <si>
    <t>Remaining
Life (yrs)</t>
  </si>
  <si>
    <t>Salvage Value ($)</t>
  </si>
  <si>
    <t>R</t>
  </si>
  <si>
    <t>aMW</t>
  </si>
  <si>
    <t>Existing</t>
  </si>
  <si>
    <t>Total</t>
  </si>
  <si>
    <t>TRC Net Levelized Cost (Net of All Benefits)</t>
  </si>
  <si>
    <t>Population</t>
  </si>
  <si>
    <t>Boise</t>
  </si>
  <si>
    <t>Portland</t>
  </si>
  <si>
    <t>Seattle</t>
  </si>
  <si>
    <t>Spokane</t>
  </si>
  <si>
    <t>Missoula</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</si>
  <si>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</si>
  <si>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</si>
  <si>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</si>
  <si>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</si>
  <si>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</si>
  <si>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</si>
  <si>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</si>
  <si>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</si>
  <si>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</si>
  <si>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</si>
  <si>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</si>
  <si>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</si>
  <si>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</si>
  <si>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</si>
  <si>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</si>
  <si>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</si>
  <si>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</si>
  <si>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</si>
  <si>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</si>
  <si>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</si>
  <si>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</si>
  <si>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</si>
  <si>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</si>
  <si>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</si>
  <si>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</si>
  <si>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</si>
  <si>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</si>
  <si>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</si>
  <si>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</si>
  <si>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</si>
  <si>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</si>
  <si>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 Allocation by Category and Month for Segments 1</t>
  </si>
  <si>
    <t>Savings Allocation by Category and Month for Segments 2</t>
  </si>
  <si>
    <t>Wholesale KW</t>
  </si>
  <si>
    <t>Block 2: 0-10 mills/kWh</t>
  </si>
  <si>
    <t>SWH</t>
  </si>
  <si>
    <t>measureid</t>
  </si>
  <si>
    <t>programcode</t>
  </si>
  <si>
    <t>subtype</t>
  </si>
  <si>
    <t>description</t>
  </si>
  <si>
    <t>dhwsysfuel</t>
  </si>
  <si>
    <t>Yr</t>
  </si>
  <si>
    <t>measuredesc</t>
  </si>
  <si>
    <t>Area</t>
  </si>
  <si>
    <t>site_kwh</t>
  </si>
  <si>
    <t>Site_therm</t>
  </si>
  <si>
    <t>costinstall</t>
  </si>
  <si>
    <t>M00001897227</t>
  </si>
  <si>
    <t>PEF</t>
  </si>
  <si>
    <t>SOLHOTW</t>
  </si>
  <si>
    <t>Solar</t>
  </si>
  <si>
    <t>GAS</t>
  </si>
  <si>
    <t>Solar Hot Water Measure</t>
  </si>
  <si>
    <t>M00001942663</t>
  </si>
  <si>
    <t>SLB</t>
  </si>
  <si>
    <t>ELE</t>
  </si>
  <si>
    <t>BE</t>
  </si>
  <si>
    <t>M00001920469</t>
  </si>
  <si>
    <t>Third-Party Ownership</t>
  </si>
  <si>
    <t>M00000582375</t>
  </si>
  <si>
    <t>SLF</t>
  </si>
  <si>
    <t xml:space="preserve">Solar Residential </t>
  </si>
  <si>
    <t>M00000714515</t>
  </si>
  <si>
    <t>M00000714527</t>
  </si>
  <si>
    <t>M00001175653</t>
  </si>
  <si>
    <t>M00001261971</t>
  </si>
  <si>
    <t>M00001329370</t>
  </si>
  <si>
    <t>M00001346120</t>
  </si>
  <si>
    <t>M00001419214</t>
  </si>
  <si>
    <t>M00001419226</t>
  </si>
  <si>
    <t>M00001451574</t>
  </si>
  <si>
    <t>M00001451575</t>
  </si>
  <si>
    <t>M00001451576</t>
  </si>
  <si>
    <t>MF</t>
  </si>
  <si>
    <t>M00001451577</t>
  </si>
  <si>
    <t>M00001451578</t>
  </si>
  <si>
    <t>M00001451579</t>
  </si>
  <si>
    <t>M00001451580</t>
  </si>
  <si>
    <t>M00001451581</t>
  </si>
  <si>
    <t>M00001451582</t>
  </si>
  <si>
    <t>M00001451583</t>
  </si>
  <si>
    <t>M00001451584</t>
  </si>
  <si>
    <t>M00001451585</t>
  </si>
  <si>
    <t>M00001589056</t>
  </si>
  <si>
    <t>M00001810258</t>
  </si>
  <si>
    <t>M00001890377</t>
  </si>
  <si>
    <t>M00001905903</t>
  </si>
  <si>
    <t>M00001968647</t>
  </si>
  <si>
    <t>ENH</t>
  </si>
  <si>
    <t>M00002001768</t>
  </si>
  <si>
    <t>M00001589044</t>
  </si>
  <si>
    <t>M00001446269</t>
  </si>
  <si>
    <t>M00001446270</t>
  </si>
  <si>
    <t>M00001446271</t>
  </si>
  <si>
    <t>M00001446272</t>
  </si>
  <si>
    <t>M00001446273</t>
  </si>
  <si>
    <t>M00001446274</t>
  </si>
  <si>
    <t>M00001446276</t>
  </si>
  <si>
    <t>M00001446277</t>
  </si>
  <si>
    <t>M00001446278</t>
  </si>
  <si>
    <t>M00001446279</t>
  </si>
  <si>
    <t>M00001446281</t>
  </si>
  <si>
    <t>M00001446282</t>
  </si>
  <si>
    <t>M00001446283</t>
  </si>
  <si>
    <t>M00001446284</t>
  </si>
  <si>
    <t>M00001446285</t>
  </si>
  <si>
    <t>M00002083331</t>
  </si>
  <si>
    <t>M00002083333</t>
  </si>
  <si>
    <t>M00001175649</t>
  </si>
  <si>
    <t>SLH</t>
  </si>
  <si>
    <t>M00001175650</t>
  </si>
  <si>
    <t>M00001175651</t>
  </si>
  <si>
    <t>M00001175652</t>
  </si>
  <si>
    <t>M00001175654</t>
  </si>
  <si>
    <t>M00001175655</t>
  </si>
  <si>
    <t>M00001175657</t>
  </si>
  <si>
    <t>M00001175658</t>
  </si>
  <si>
    <t>M00001177519</t>
  </si>
  <si>
    <t>M00001201957</t>
  </si>
  <si>
    <t>M00001231959</t>
  </si>
  <si>
    <t>M00001313151</t>
  </si>
  <si>
    <t>M00001334993</t>
  </si>
  <si>
    <t>M00001419229</t>
  </si>
  <si>
    <t>M00001428948</t>
  </si>
  <si>
    <t>M00001443029</t>
  </si>
  <si>
    <t>M00001447744</t>
  </si>
  <si>
    <t>OTHER</t>
  </si>
  <si>
    <t>M00001465213</t>
  </si>
  <si>
    <t>M00001507318</t>
  </si>
  <si>
    <t>M00001522524</t>
  </si>
  <si>
    <t>M00001522527</t>
  </si>
  <si>
    <t>M00001524429</t>
  </si>
  <si>
    <t>M00001539532</t>
  </si>
  <si>
    <t>M00001547079</t>
  </si>
  <si>
    <t>M00001583006</t>
  </si>
  <si>
    <t>M00001589043</t>
  </si>
  <si>
    <t>M00001617003</t>
  </si>
  <si>
    <t>M00001783234</t>
  </si>
  <si>
    <t>M00001783258</t>
  </si>
  <si>
    <t>M00001783304</t>
  </si>
  <si>
    <t>M00001528330</t>
  </si>
  <si>
    <t>M00001783303</t>
  </si>
  <si>
    <t>M00001589054</t>
  </si>
  <si>
    <t>M00001589072</t>
  </si>
  <si>
    <t>M00001589104</t>
  </si>
  <si>
    <t>M00001920470</t>
  </si>
  <si>
    <t>M00001905771</t>
  </si>
  <si>
    <t>M00001839373</t>
  </si>
  <si>
    <t>M00001847427</t>
  </si>
  <si>
    <t>M00001847470</t>
  </si>
  <si>
    <t>M00001847479</t>
  </si>
  <si>
    <t>M00001886686</t>
  </si>
  <si>
    <t>M00001890435</t>
  </si>
  <si>
    <t>M00001940892</t>
  </si>
  <si>
    <t>M00001943243</t>
  </si>
  <si>
    <t>M00001959072</t>
  </si>
  <si>
    <t>M00001967350</t>
  </si>
  <si>
    <t>M00001974290</t>
  </si>
  <si>
    <t>M00002001769</t>
  </si>
  <si>
    <t>M00002283753</t>
  </si>
  <si>
    <t>M00001920471</t>
  </si>
  <si>
    <t>M00001920472</t>
  </si>
  <si>
    <t>M00001969123</t>
  </si>
  <si>
    <t>M00002008119</t>
  </si>
  <si>
    <t>M00001988063</t>
  </si>
  <si>
    <t>M00001999737</t>
  </si>
  <si>
    <t>M00002083332</t>
  </si>
  <si>
    <t>M00002085185</t>
  </si>
  <si>
    <t>M00002105217</t>
  </si>
  <si>
    <t>M00002106027</t>
  </si>
  <si>
    <t>M00002106028</t>
  </si>
  <si>
    <t>M00002312631</t>
  </si>
  <si>
    <t>From ETO</t>
  </si>
  <si>
    <t>kWh/area</t>
  </si>
  <si>
    <t>$/area</t>
  </si>
  <si>
    <t>avg:</t>
  </si>
  <si>
    <t>median:</t>
  </si>
  <si>
    <t>stdev</t>
  </si>
  <si>
    <t>SHW Solar Zone 1</t>
  </si>
  <si>
    <t>SHW Solar Zone 2</t>
  </si>
  <si>
    <t>SHW Solar Zone 3</t>
  </si>
  <si>
    <t>SHW Solar Zone 4</t>
  </si>
  <si>
    <t>SHW Solar Zone 5</t>
  </si>
  <si>
    <t>Solar Zone No.</t>
  </si>
  <si>
    <t>Production Factor (kWh/yr/KW)</t>
  </si>
  <si>
    <t>Solar DHW Savings (kWh/yr)</t>
  </si>
  <si>
    <t>Fraction of Population</t>
  </si>
  <si>
    <t>Weighted Average PV Production (kWh/yr/KW)</t>
  </si>
  <si>
    <t>Weighted Average Solar DHW Savings (kWh/yr)</t>
  </si>
  <si>
    <t>Weighting Method</t>
  </si>
  <si>
    <t>*Photovoltaic production factors by solar radiation class (kWh/kW)</t>
  </si>
  <si>
    <t>PNW Solar Zones</t>
  </si>
  <si>
    <t>COUNTY</t>
  </si>
  <si>
    <t>State</t>
  </si>
  <si>
    <t>SOLAR ZONE</t>
  </si>
  <si>
    <t>Solar Production Value</t>
  </si>
  <si>
    <t>Lake</t>
  </si>
  <si>
    <t>MT</t>
  </si>
  <si>
    <t>Clallam</t>
  </si>
  <si>
    <t>WA</t>
  </si>
  <si>
    <t>Mineral</t>
  </si>
  <si>
    <t>King</t>
  </si>
  <si>
    <t>Sanders</t>
  </si>
  <si>
    <t>Kitsap</t>
  </si>
  <si>
    <t>Clatsop</t>
  </si>
  <si>
    <t>OR</t>
  </si>
  <si>
    <t>Mason</t>
  </si>
  <si>
    <t>Pacific</t>
  </si>
  <si>
    <t>Grays Harbor</t>
  </si>
  <si>
    <t>Pierce</t>
  </si>
  <si>
    <t>Thurston</t>
  </si>
  <si>
    <t>Wahkiakum</t>
  </si>
  <si>
    <t>Shoshone</t>
  </si>
  <si>
    <t>ID</t>
  </si>
  <si>
    <t>Benton</t>
  </si>
  <si>
    <t>Clark</t>
  </si>
  <si>
    <t>Clackamas</t>
  </si>
  <si>
    <t>Cowlitz</t>
  </si>
  <si>
    <t>Columbia</t>
  </si>
  <si>
    <t>Island</t>
  </si>
  <si>
    <t>Hood River</t>
  </si>
  <si>
    <t>Lewis</t>
  </si>
  <si>
    <t>Lane</t>
  </si>
  <si>
    <t>San Juan</t>
  </si>
  <si>
    <t>Lincoln</t>
  </si>
  <si>
    <t>Skagit</t>
  </si>
  <si>
    <t>Linn</t>
  </si>
  <si>
    <t>Skamania</t>
  </si>
  <si>
    <t>Marion</t>
  </si>
  <si>
    <t>Snohomish</t>
  </si>
  <si>
    <t>Multnomah</t>
  </si>
  <si>
    <t>Whatcom</t>
  </si>
  <si>
    <t>Polk</t>
  </si>
  <si>
    <t>Tillamook</t>
  </si>
  <si>
    <t>Washington</t>
  </si>
  <si>
    <t>Yamhill</t>
  </si>
  <si>
    <t>Benewah</t>
  </si>
  <si>
    <t>Bonner</t>
  </si>
  <si>
    <t>Bonneville</t>
  </si>
  <si>
    <t>Boundary</t>
  </si>
  <si>
    <t>Clearwater</t>
  </si>
  <si>
    <t>Franklin</t>
  </si>
  <si>
    <t>Fremont</t>
  </si>
  <si>
    <t>Idaho</t>
  </si>
  <si>
    <t>Jefferson</t>
  </si>
  <si>
    <t>Kootenai</t>
  </si>
  <si>
    <t>Latah</t>
  </si>
  <si>
    <t>Madison</t>
  </si>
  <si>
    <t>Nez Perce</t>
  </si>
  <si>
    <t>Teton</t>
  </si>
  <si>
    <t>Anaconda-Deer Lodge</t>
  </si>
  <si>
    <t>Flathead</t>
  </si>
  <si>
    <t>Granite</t>
  </si>
  <si>
    <t>Lewis and Clark</t>
  </si>
  <si>
    <t>Powell</t>
  </si>
  <si>
    <t>Ravalli</t>
  </si>
  <si>
    <t>Butte-Silver Bow</t>
  </si>
  <si>
    <t>Adams</t>
  </si>
  <si>
    <t>Asotin</t>
  </si>
  <si>
    <t>Baker</t>
  </si>
  <si>
    <t>Coos</t>
  </si>
  <si>
    <t>Chelan</t>
  </si>
  <si>
    <t>Curry</t>
  </si>
  <si>
    <t>Douglas</t>
  </si>
  <si>
    <t>Gilliam</t>
  </si>
  <si>
    <t>Ferry</t>
  </si>
  <si>
    <t>Jackson</t>
  </si>
  <si>
    <t>Garfield</t>
  </si>
  <si>
    <t>Josephine</t>
  </si>
  <si>
    <t>Grant</t>
  </si>
  <si>
    <t>Morrow</t>
  </si>
  <si>
    <t>Kittitas</t>
  </si>
  <si>
    <t>Umatilla</t>
  </si>
  <si>
    <t>Klickitat</t>
  </si>
  <si>
    <t>Union</t>
  </si>
  <si>
    <t>Wallowa</t>
  </si>
  <si>
    <t>Okanogan</t>
  </si>
  <si>
    <t>Wasco</t>
  </si>
  <si>
    <t>Pend Oreille</t>
  </si>
  <si>
    <t>Stevens</t>
  </si>
  <si>
    <t>Walla Walla</t>
  </si>
  <si>
    <t>Whitman</t>
  </si>
  <si>
    <t>Yakima</t>
  </si>
  <si>
    <t>Bannock</t>
  </si>
  <si>
    <t>Bingham</t>
  </si>
  <si>
    <t>Blaine</t>
  </si>
  <si>
    <t>Butte</t>
  </si>
  <si>
    <t>Camas</t>
  </si>
  <si>
    <t>Caribou</t>
  </si>
  <si>
    <t>Cassia</t>
  </si>
  <si>
    <t>Custer</t>
  </si>
  <si>
    <t>Elmore</t>
  </si>
  <si>
    <t>Gem</t>
  </si>
  <si>
    <t>Gooding</t>
  </si>
  <si>
    <t>Jerome</t>
  </si>
  <si>
    <t>Lemhi</t>
  </si>
  <si>
    <t>Payette</t>
  </si>
  <si>
    <t>Power</t>
  </si>
  <si>
    <t>Twin Falls</t>
  </si>
  <si>
    <t>Valley</t>
  </si>
  <si>
    <t>Crook</t>
  </si>
  <si>
    <t>Deschutes</t>
  </si>
  <si>
    <t>Minidoka</t>
  </si>
  <si>
    <t>Oneida</t>
  </si>
  <si>
    <t>Klamath</t>
  </si>
  <si>
    <t>Wheeler</t>
  </si>
  <si>
    <t>Owyhee</t>
  </si>
  <si>
    <t>Harney</t>
  </si>
  <si>
    <t>Malheur</t>
  </si>
  <si>
    <t xml:space="preserve">Bear Lake County, ID </t>
  </si>
  <si>
    <t xml:space="preserve">Washington County, ID </t>
  </si>
  <si>
    <t>Canyon County,ID</t>
  </si>
  <si>
    <t>Solar Zone</t>
  </si>
  <si>
    <t>Solar Fraction*</t>
  </si>
  <si>
    <t>Savings (kWh/yr)</t>
  </si>
  <si>
    <t>Solar Residential Water Heater, Solar Zone 5</t>
  </si>
  <si>
    <t>Winnemucca</t>
  </si>
  <si>
    <t>Solar Residential Water Heater, Solar Zone 4</t>
  </si>
  <si>
    <t>Medford</t>
  </si>
  <si>
    <t>Solar Residential Water Heater, Solar Zone 3</t>
  </si>
  <si>
    <t>Solar Residential Water Heater, Solar Zone 2</t>
  </si>
  <si>
    <t>Solar Residential Water Heater, Solar Zone 1</t>
  </si>
  <si>
    <t>*Based on FSEC TRNSYS runs by D. Parker &amp; M. Anello</t>
  </si>
  <si>
    <t>used in 6P</t>
  </si>
  <si>
    <t>Baseline DHW Use**</t>
  </si>
  <si>
    <t>SolarDHWZ1W</t>
  </si>
  <si>
    <t>SolarDHWZ2W</t>
  </si>
  <si>
    <t>SolarDHWZ3W</t>
  </si>
  <si>
    <t>SolarDHWZ4W</t>
  </si>
  <si>
    <t>SolarDHWZ5W</t>
  </si>
  <si>
    <t>R-All-WH-SWH-All-All-C</t>
  </si>
  <si>
    <t>End Use:</t>
  </si>
  <si>
    <t>Ramp Rate</t>
  </si>
  <si>
    <t>Resource Type</t>
  </si>
  <si>
    <t>Measure Category</t>
  </si>
  <si>
    <t>Sector</t>
  </si>
  <si>
    <t>End Use</t>
  </si>
  <si>
    <t>kW per unit</t>
  </si>
  <si>
    <t>kWh per unit</t>
  </si>
  <si>
    <t>Residential</t>
  </si>
  <si>
    <t>Solar Water Heating</t>
  </si>
  <si>
    <t>Solar water heater added to existing WH</t>
  </si>
  <si>
    <t>6P assumed exclusive of HPWH, so base consumption was ERWH</t>
  </si>
  <si>
    <t>same</t>
  </si>
  <si>
    <t>Low</t>
  </si>
  <si>
    <t>Solar zone</t>
  </si>
  <si>
    <t>exclude SZ5 due to low population</t>
  </si>
  <si>
    <t>ETO data</t>
  </si>
  <si>
    <t>updated with more recent data</t>
  </si>
  <si>
    <t>20 years</t>
  </si>
  <si>
    <t>using SWH shape from CA</t>
  </si>
  <si>
    <t>Max60</t>
  </si>
  <si>
    <t>likely not all homes will ever install measure</t>
  </si>
  <si>
    <t>6P used 25% max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</si>
  <si>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</si>
  <si>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</si>
  <si>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</si>
  <si>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</si>
  <si>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</si>
  <si>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</si>
  <si>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</si>
  <si>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</si>
  <si>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</si>
  <si>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</si>
  <si>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</si>
  <si>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</si>
  <si>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</si>
  <si>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</si>
  <si>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</si>
  <si>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</si>
  <si>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</si>
  <si>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</si>
  <si>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</si>
  <si>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</si>
  <si>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</si>
  <si>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</si>
  <si>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</si>
  <si>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</si>
  <si>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</si>
  <si>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</si>
  <si>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</si>
  <si>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</si>
  <si>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</si>
  <si>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</si>
  <si>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</si>
  <si>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</si>
  <si>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</si>
  <si>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</si>
  <si>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</si>
  <si>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</si>
  <si>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</si>
  <si>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</si>
  <si>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</si>
  <si>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</si>
  <si>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</si>
  <si>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</si>
  <si>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</si>
  <si>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</si>
  <si>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</si>
  <si>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</si>
  <si>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</si>
  <si>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</si>
  <si>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</si>
  <si>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</si>
  <si>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</si>
  <si>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</si>
  <si>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</si>
  <si>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</si>
  <si>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</si>
  <si>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</si>
  <si>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</si>
  <si>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</si>
  <si>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</si>
  <si>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</si>
  <si>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</si>
  <si>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</si>
  <si>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</si>
  <si>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</si>
  <si>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</si>
  <si>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</si>
  <si>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</si>
  <si>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</si>
  <si>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</si>
  <si>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</si>
  <si>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</si>
  <si>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</si>
  <si>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</si>
  <si>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</si>
  <si>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</si>
  <si>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</si>
  <si>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</si>
  <si>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</si>
  <si>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</si>
  <si>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</si>
  <si>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</si>
  <si>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</si>
  <si>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</si>
  <si>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</si>
  <si>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</si>
  <si>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</si>
  <si>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</si>
  <si>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</si>
  <si>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</si>
  <si>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</si>
  <si>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</si>
  <si>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</si>
  <si>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</si>
  <si>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</si>
  <si>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</si>
  <si>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</si>
  <si>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</si>
  <si>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</si>
  <si>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</si>
  <si>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</si>
  <si>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</si>
  <si>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</si>
  <si>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</si>
  <si>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</si>
  <si>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</si>
  <si>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</si>
  <si>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</si>
  <si>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</si>
  <si>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</si>
  <si>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</si>
  <si>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</si>
  <si>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</si>
  <si>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</si>
  <si>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</si>
  <si>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</si>
  <si>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</si>
  <si>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</si>
  <si>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</si>
  <si>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</si>
  <si>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</si>
  <si>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</si>
  <si>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</si>
  <si>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</si>
  <si>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</si>
  <si>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</si>
  <si>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</si>
  <si>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</si>
  <si>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</si>
  <si>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</si>
  <si>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</si>
  <si>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</si>
  <si>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</si>
  <si>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</si>
  <si>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</si>
  <si>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</si>
  <si>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</si>
  <si>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</si>
  <si>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</si>
  <si>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</si>
  <si>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</si>
  <si>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</si>
  <si>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</si>
  <si>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</si>
  <si>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</si>
  <si>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</si>
  <si>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</si>
  <si>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</si>
  <si>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</si>
  <si>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</si>
  <si>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</si>
  <si>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</si>
  <si>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</si>
  <si>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</si>
  <si>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</si>
  <si>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</si>
  <si>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</si>
  <si>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</si>
  <si>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</si>
  <si>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</si>
  <si>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</si>
  <si>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</si>
  <si>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</si>
  <si>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</si>
  <si>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</si>
  <si>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</si>
  <si>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</si>
  <si>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</si>
  <si>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</si>
  <si>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</si>
  <si>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</si>
  <si>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</si>
  <si>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</si>
  <si>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</si>
  <si>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</si>
  <si>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</si>
  <si>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</si>
  <si>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</si>
  <si>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</si>
  <si>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</si>
  <si>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</si>
  <si>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</si>
  <si>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 &lt;= 10 mills/kWh</t>
  </si>
  <si>
    <t>Block 22: &gt; 200 mills/kWh</t>
  </si>
  <si>
    <t>unknown, but only fraction of homes with adequate solar insolation</t>
  </si>
  <si>
    <t>Savings % from Florida Solar Energy Center, base UEC assumes ERWH</t>
  </si>
  <si>
    <t>25% of homes, only portion of stock not converting to HPWH</t>
  </si>
  <si>
    <t>Retrofit, available stock is based on what is not converted to HPWH</t>
  </si>
  <si>
    <t>** Average ERWH consumption from RTF work Res_HPWH_v2_0</t>
  </si>
  <si>
    <t>Elec only Cost</t>
  </si>
  <si>
    <t>Don't calculate potential for new homes, as retro incorporates non-HPWH new and existing homes</t>
  </si>
  <si>
    <t>Since HPWH is lower cost and to avoid double counting, exclude houses that have converted (from SC file) to a HPWH</t>
  </si>
  <si>
    <t>Friday, 6 March , 2015 at 1:53 PM</t>
  </si>
  <si>
    <t>Total Max Potential (aMW)</t>
  </si>
</sst>
</file>

<file path=xl/styles.xml><?xml version="1.0" encoding="utf-8"?>
<styleSheet xmlns="http://schemas.openxmlformats.org/spreadsheetml/2006/main">
  <numFmts count="16">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_(* #,##0.0_);_(* \(#,##0.0\);_(* &quot;-&quot;?_);_(@_)"/>
    <numFmt numFmtId="171" formatCode="_(* #,##0_);_(* \(#,##0\);_(* &quot;-&quot;??_);_(@_)"/>
    <numFmt numFmtId="172" formatCode="mmm\-yyyy"/>
    <numFmt numFmtId="173" formatCode="0.0%"/>
    <numFmt numFmtId="174" formatCode="0.0;[Red]\-0.0"/>
    <numFmt numFmtId="175" formatCode="\ "/>
  </numFmts>
  <fonts count="60">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name val="Arial"/>
      <family val="2"/>
    </font>
    <font>
      <sz val="10"/>
      <color indexed="10"/>
      <name val="Arial"/>
      <family val="2"/>
    </font>
  </fonts>
  <fills count="66">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60"/>
        <bgColor indexed="64"/>
      </patternFill>
    </fill>
    <fill>
      <patternFill patternType="solid">
        <fgColor indexed="31"/>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67">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0" borderId="0"/>
    <xf numFmtId="0" fontId="4" fillId="9" borderId="0" applyNumberFormat="0" applyAlignment="0">
      <alignment horizontal="right"/>
    </xf>
    <xf numFmtId="0" fontId="4" fillId="8" borderId="0" applyNumberFormat="0" applyAlignment="0"/>
    <xf numFmtId="169" fontId="14" fillId="0" borderId="0"/>
    <xf numFmtId="0" fontId="15" fillId="0" borderId="0">
      <alignment horizontal="center" wrapText="1"/>
    </xf>
    <xf numFmtId="9" fontId="4"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0" fontId="4" fillId="0" borderId="0">
      <alignment readingOrder="1"/>
    </xf>
    <xf numFmtId="0" fontId="4" fillId="0" borderId="0">
      <alignment readingOrder="1"/>
    </xf>
    <xf numFmtId="0" fontId="4" fillId="0" borderId="0">
      <alignment readingOrder="1"/>
    </xf>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4" fillId="19" borderId="0" applyNumberFormat="0" applyBorder="0" applyAlignment="0" applyProtection="0"/>
    <xf numFmtId="0" fontId="25" fillId="20" borderId="0" applyNumberFormat="0" applyBorder="0" applyAlignment="0" applyProtection="0"/>
    <xf numFmtId="0" fontId="24" fillId="21" borderId="0" applyNumberFormat="0" applyBorder="0" applyAlignment="0" applyProtection="0"/>
    <xf numFmtId="0" fontId="24" fillId="19" borderId="0" applyNumberFormat="0" applyBorder="0" applyAlignment="0" applyProtection="0"/>
    <xf numFmtId="0" fontId="25" fillId="22" borderId="0" applyNumberFormat="0" applyBorder="0" applyAlignment="0" applyProtection="0"/>
    <xf numFmtId="0" fontId="24" fillId="23"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4" fillId="24" borderId="0" applyNumberFormat="0" applyBorder="0" applyAlignment="0" applyProtection="0"/>
    <xf numFmtId="0" fontId="25" fillId="24" borderId="0" applyNumberFormat="0" applyBorder="0" applyAlignment="0" applyProtection="0"/>
    <xf numFmtId="0" fontId="24" fillId="20" borderId="0" applyNumberFormat="0" applyBorder="0" applyAlignment="0" applyProtection="0"/>
    <xf numFmtId="0" fontId="25" fillId="20"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4" fillId="27" borderId="0" applyNumberFormat="0" applyBorder="0" applyAlignment="0" applyProtection="0"/>
    <xf numFmtId="0" fontId="24" fillId="19" borderId="0" applyNumberFormat="0" applyBorder="0" applyAlignment="0" applyProtection="0"/>
    <xf numFmtId="0" fontId="25" fillId="27" borderId="0" applyNumberFormat="0" applyBorder="0" applyAlignment="0" applyProtection="0"/>
    <xf numFmtId="0" fontId="24" fillId="28" borderId="0" applyNumberFormat="0" applyBorder="0" applyAlignment="0" applyProtection="0"/>
    <xf numFmtId="0" fontId="24" fillId="19" borderId="0" applyNumberFormat="0" applyBorder="0" applyAlignment="0" applyProtection="0"/>
    <xf numFmtId="0" fontId="25" fillId="29"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4" fillId="25" borderId="0" applyNumberFormat="0" applyBorder="0" applyAlignment="0" applyProtection="0"/>
    <xf numFmtId="0" fontId="25" fillId="25" borderId="0" applyNumberFormat="0" applyBorder="0" applyAlignment="0" applyProtection="0"/>
    <xf numFmtId="0" fontId="24" fillId="30" borderId="0" applyNumberFormat="0" applyBorder="0" applyAlignment="0" applyProtection="0"/>
    <xf numFmtId="0" fontId="24" fillId="20" borderId="0" applyNumberFormat="0" applyBorder="0" applyAlignment="0" applyProtection="0"/>
    <xf numFmtId="0" fontId="25" fillId="2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27" borderId="0" applyNumberFormat="0" applyBorder="0" applyAlignment="0" applyProtection="0"/>
    <xf numFmtId="0" fontId="26" fillId="19"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19"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1" fillId="37" borderId="0" applyNumberFormat="0" applyBorder="0" applyAlignment="0" applyProtection="0"/>
    <xf numFmtId="0" fontId="26" fillId="38"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1" fillId="40" borderId="0" applyNumberFormat="0" applyBorder="0" applyAlignment="0" applyProtection="0"/>
    <xf numFmtId="0" fontId="26" fillId="41" borderId="0" applyNumberFormat="0" applyBorder="0" applyAlignment="0" applyProtection="0"/>
    <xf numFmtId="0" fontId="26"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11" fillId="43" borderId="0" applyNumberFormat="0" applyBorder="0" applyAlignment="0" applyProtection="0"/>
    <xf numFmtId="0" fontId="26" fillId="44" borderId="0" applyNumberFormat="0" applyBorder="0" applyAlignment="0" applyProtection="0"/>
    <xf numFmtId="0" fontId="26" fillId="19" borderId="0" applyNumberFormat="0" applyBorder="0" applyAlignment="0" applyProtection="0"/>
    <xf numFmtId="0" fontId="26" fillId="44"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11" fillId="46" borderId="0" applyNumberFormat="0" applyBorder="0" applyAlignment="0" applyProtection="0"/>
    <xf numFmtId="0" fontId="26" fillId="33"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9" fillId="48" borderId="0" applyNumberFormat="0" applyBorder="0" applyAlignment="0" applyProtection="0"/>
    <xf numFmtId="0" fontId="9" fillId="36" borderId="0" applyNumberFormat="0" applyBorder="0" applyAlignment="0" applyProtection="0"/>
    <xf numFmtId="0" fontId="11" fillId="49"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11" fillId="52" borderId="0" applyNumberFormat="0" applyBorder="0" applyAlignment="0" applyProtection="0"/>
    <xf numFmtId="0" fontId="26" fillId="53" borderId="0" applyNumberFormat="0" applyBorder="0" applyAlignment="0" applyProtection="0"/>
    <xf numFmtId="0" fontId="26" fillId="53" borderId="0" applyNumberFormat="0" applyBorder="0" applyAlignment="0" applyProtection="0"/>
    <xf numFmtId="0" fontId="27" fillId="19" borderId="0" applyNumberFormat="0" applyBorder="0" applyAlignment="0" applyProtection="0"/>
    <xf numFmtId="0" fontId="27" fillId="23" borderId="0" applyNumberFormat="0" applyBorder="0" applyAlignment="0" applyProtection="0"/>
    <xf numFmtId="0" fontId="27" fillId="19" borderId="0" applyNumberFormat="0" applyBorder="0" applyAlignment="0" applyProtection="0"/>
    <xf numFmtId="0" fontId="28" fillId="26" borderId="17" applyNumberFormat="0" applyAlignment="0" applyProtection="0"/>
    <xf numFmtId="0" fontId="28" fillId="17" borderId="17" applyNumberFormat="0" applyAlignment="0" applyProtection="0"/>
    <xf numFmtId="0" fontId="28" fillId="17" borderId="17" applyNumberFormat="0" applyAlignment="0" applyProtection="0"/>
    <xf numFmtId="0" fontId="29" fillId="54" borderId="18" applyNumberFormat="0" applyAlignment="0" applyProtection="0"/>
    <xf numFmtId="0" fontId="29" fillId="54" borderId="18" applyNumberFormat="0" applyAlignment="0" applyProtection="0"/>
    <xf numFmtId="41" fontId="3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31" fillId="55" borderId="0" applyNumberFormat="0" applyBorder="0" applyAlignment="0" applyProtection="0"/>
    <xf numFmtId="0" fontId="31" fillId="56" borderId="0" applyNumberFormat="0" applyBorder="0" applyAlignment="0" applyProtection="0"/>
    <xf numFmtId="0" fontId="31" fillId="57"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4" fillId="0" borderId="19" applyNumberFormat="0" applyFill="0" applyAlignment="0" applyProtection="0"/>
    <xf numFmtId="0" fontId="35" fillId="0" borderId="20" applyNumberFormat="0" applyFill="0" applyAlignment="0" applyProtection="0"/>
    <xf numFmtId="0" fontId="35" fillId="0" borderId="20" applyNumberFormat="0" applyFill="0" applyAlignment="0" applyProtection="0"/>
    <xf numFmtId="0" fontId="6" fillId="58" borderId="21">
      <alignment horizontal="left"/>
    </xf>
    <xf numFmtId="0" fontId="36" fillId="0" borderId="22" applyNumberFormat="0" applyFill="0" applyAlignment="0" applyProtection="0"/>
    <xf numFmtId="0" fontId="37" fillId="0" borderId="23" applyNumberFormat="0" applyFill="0" applyAlignment="0" applyProtection="0"/>
    <xf numFmtId="0" fontId="38" fillId="0" borderId="24" applyNumberFormat="0" applyFill="0" applyAlignment="0" applyProtection="0"/>
    <xf numFmtId="0" fontId="38" fillId="0" borderId="24"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20" borderId="17" applyNumberFormat="0" applyAlignment="0" applyProtection="0"/>
    <xf numFmtId="0" fontId="44" fillId="20" borderId="17" applyNumberFormat="0" applyAlignment="0" applyProtection="0"/>
    <xf numFmtId="0" fontId="45" fillId="0" borderId="25" applyNumberFormat="0" applyFill="0" applyAlignment="0" applyProtection="0"/>
    <xf numFmtId="0" fontId="45" fillId="0" borderId="25" applyNumberFormat="0" applyFill="0" applyAlignment="0" applyProtection="0"/>
    <xf numFmtId="0" fontId="46" fillId="29" borderId="0" applyNumberFormat="0" applyBorder="0" applyAlignment="0" applyProtection="0"/>
    <xf numFmtId="0" fontId="46" fillId="29" borderId="0" applyNumberFormat="0" applyBorder="0" applyAlignment="0" applyProtection="0"/>
    <xf numFmtId="0" fontId="24" fillId="0" borderId="0"/>
    <xf numFmtId="0" fontId="4" fillId="0" borderId="0"/>
    <xf numFmtId="0" fontId="24" fillId="0" borderId="0"/>
    <xf numFmtId="0" fontId="24" fillId="0" borderId="0"/>
    <xf numFmtId="0" fontId="4" fillId="0" borderId="0"/>
    <xf numFmtId="0" fontId="4" fillId="0" borderId="0">
      <alignment readingOrder="1"/>
    </xf>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4" fillId="0" borderId="0"/>
    <xf numFmtId="0" fontId="19" fillId="0" borderId="0"/>
    <xf numFmtId="0" fontId="19" fillId="0" borderId="0"/>
    <xf numFmtId="0" fontId="4" fillId="0" borderId="0">
      <alignment readingOrder="1"/>
    </xf>
    <xf numFmtId="0" fontId="19"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24" fillId="0" borderId="0"/>
    <xf numFmtId="0" fontId="24"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alignment readingOrder="1"/>
    </xf>
    <xf numFmtId="0" fontId="4" fillId="0" borderId="0">
      <alignment readingOrder="1"/>
    </xf>
    <xf numFmtId="0" fontId="19" fillId="0" borderId="0"/>
    <xf numFmtId="0" fontId="19" fillId="0" borderId="0"/>
    <xf numFmtId="0" fontId="4" fillId="0" borderId="0">
      <alignment readingOrder="1"/>
    </xf>
    <xf numFmtId="0" fontId="24" fillId="0" borderId="0"/>
    <xf numFmtId="0" fontId="4" fillId="0" borderId="0">
      <alignment readingOrder="1"/>
    </xf>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 fillId="0" borderId="0">
      <alignment readingOrder="1"/>
    </xf>
    <xf numFmtId="0" fontId="4" fillId="0" borderId="0"/>
    <xf numFmtId="0" fontId="47" fillId="0" borderId="0"/>
    <xf numFmtId="0" fontId="48" fillId="0" borderId="0"/>
    <xf numFmtId="0" fontId="48" fillId="0" borderId="0"/>
    <xf numFmtId="0" fontId="48" fillId="0" borderId="0"/>
    <xf numFmtId="0" fontId="4" fillId="0" borderId="0"/>
    <xf numFmtId="0" fontId="4" fillId="0" borderId="0"/>
    <xf numFmtId="0" fontId="4" fillId="0" borderId="0"/>
    <xf numFmtId="0" fontId="48" fillId="0" borderId="0"/>
    <xf numFmtId="0" fontId="48" fillId="0" borderId="0"/>
    <xf numFmtId="0" fontId="48"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2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9" fillId="0" borderId="0"/>
    <xf numFmtId="0" fontId="24" fillId="0" borderId="0"/>
    <xf numFmtId="0" fontId="19" fillId="0" borderId="0"/>
    <xf numFmtId="0" fontId="4" fillId="0" borderId="0" applyNumberFormat="0" applyFill="0" applyBorder="0" applyAlignment="0" applyProtection="0"/>
    <xf numFmtId="0" fontId="19" fillId="0" borderId="0"/>
    <xf numFmtId="0" fontId="19" fillId="0" borderId="0"/>
    <xf numFmtId="0" fontId="30" fillId="0" borderId="0"/>
    <xf numFmtId="0" fontId="19" fillId="0" borderId="0"/>
    <xf numFmtId="0" fontId="19" fillId="0" borderId="0"/>
    <xf numFmtId="0" fontId="4" fillId="0" borderId="0">
      <alignment readingOrder="1"/>
    </xf>
    <xf numFmtId="0" fontId="19" fillId="0" borderId="0"/>
    <xf numFmtId="0" fontId="19" fillId="0" borderId="0"/>
    <xf numFmtId="0" fontId="19" fillId="0" borderId="0"/>
    <xf numFmtId="0" fontId="19" fillId="0" borderId="0"/>
    <xf numFmtId="0" fontId="1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19" fillId="0" borderId="0"/>
    <xf numFmtId="0" fontId="19" fillId="0" borderId="0"/>
    <xf numFmtId="0" fontId="4" fillId="0" borderId="0"/>
    <xf numFmtId="0" fontId="24" fillId="0" borderId="0"/>
    <xf numFmtId="0" fontId="24" fillId="0" borderId="0"/>
    <xf numFmtId="0" fontId="19" fillId="0" borderId="0"/>
    <xf numFmtId="0" fontId="49" fillId="0" borderId="0"/>
    <xf numFmtId="0" fontId="24" fillId="0" borderId="0"/>
    <xf numFmtId="0" fontId="24" fillId="0" borderId="0"/>
    <xf numFmtId="0" fontId="24" fillId="0" borderId="0"/>
    <xf numFmtId="0" fontId="24" fillId="0" borderId="0"/>
    <xf numFmtId="0" fontId="4" fillId="0" borderId="0">
      <alignment readingOrder="1"/>
    </xf>
    <xf numFmtId="0" fontId="4" fillId="0" borderId="0">
      <alignment readingOrder="1"/>
    </xf>
    <xf numFmtId="0" fontId="4" fillId="0" borderId="0">
      <alignment readingOrder="1"/>
    </xf>
    <xf numFmtId="0" fontId="24" fillId="22" borderId="26" applyNumberFormat="0" applyFont="0" applyAlignment="0" applyProtection="0"/>
    <xf numFmtId="0" fontId="4" fillId="22" borderId="26" applyNumberFormat="0" applyFont="0" applyAlignment="0" applyProtection="0"/>
    <xf numFmtId="0" fontId="24" fillId="22" borderId="26" applyNumberFormat="0" applyFont="0" applyAlignment="0" applyProtection="0"/>
    <xf numFmtId="0" fontId="50" fillId="26" borderId="27" applyNumberFormat="0" applyAlignment="0" applyProtection="0"/>
    <xf numFmtId="0" fontId="50" fillId="17" borderId="27" applyNumberFormat="0" applyAlignment="0" applyProtection="0"/>
    <xf numFmtId="0" fontId="50" fillId="17" borderId="27" applyNumberFormat="0" applyAlignment="0" applyProtection="0"/>
    <xf numFmtId="9" fontId="2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51" fillId="0" borderId="0" applyNumberFormat="0" applyFill="0" applyBorder="0" applyAlignment="0" applyProtection="0"/>
    <xf numFmtId="0" fontId="52" fillId="0" borderId="0"/>
    <xf numFmtId="0" fontId="53" fillId="0" borderId="0"/>
    <xf numFmtId="172" fontId="4" fillId="0" borderId="0" applyFill="0" applyBorder="0" applyAlignment="0" applyProtection="0">
      <alignment wrapText="1"/>
    </xf>
    <xf numFmtId="0" fontId="51"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28" applyNumberFormat="0" applyFill="0" applyAlignment="0" applyProtection="0"/>
    <xf numFmtId="0" fontId="55" fillId="0" borderId="29" applyNumberFormat="0" applyFill="0" applyAlignment="0" applyProtection="0"/>
    <xf numFmtId="0" fontId="50" fillId="0" borderId="29"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lignment vertical="center"/>
    </xf>
    <xf numFmtId="0" fontId="4" fillId="0" borderId="0"/>
    <xf numFmtId="0" fontId="4" fillId="0" borderId="0"/>
    <xf numFmtId="43" fontId="4" fillId="0" borderId="0" applyFont="0" applyFill="0" applyBorder="0" applyAlignment="0" applyProtection="0"/>
    <xf numFmtId="0" fontId="58" fillId="0" borderId="0"/>
  </cellStyleXfs>
  <cellXfs count="201">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4" fillId="0" borderId="0" xfId="2" applyFont="1" applyFill="1"/>
    <xf numFmtId="165" fontId="4" fillId="0" borderId="0" xfId="2" applyNumberFormat="1" applyFont="1"/>
    <xf numFmtId="0" fontId="0" fillId="0" borderId="0" xfId="0">
      <alignment readingOrder="1"/>
    </xf>
    <xf numFmtId="0" fontId="3"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4" fillId="6" borderId="0" xfId="4" applyFont="1" applyFill="1" applyBorder="1" applyAlignment="1">
      <alignment wrapText="1"/>
    </xf>
    <xf numFmtId="1" fontId="4" fillId="6" borderId="0" xfId="4" applyNumberFormat="1" applyFont="1" applyFill="1" applyBorder="1" applyAlignment="1">
      <alignment wrapText="1"/>
    </xf>
    <xf numFmtId="168" fontId="4" fillId="6" borderId="0" xfId="1" applyNumberFormat="1" applyFont="1" applyFill="1" applyBorder="1" applyAlignment="1">
      <alignment wrapText="1"/>
    </xf>
    <xf numFmtId="2" fontId="4" fillId="6" borderId="0" xfId="4" applyNumberFormat="1" applyFont="1" applyFill="1" applyBorder="1" applyAlignment="1">
      <alignment wrapText="1"/>
    </xf>
    <xf numFmtId="0" fontId="0" fillId="0" borderId="0" xfId="0" applyFill="1" applyBorder="1">
      <alignment readingOrder="1"/>
    </xf>
    <xf numFmtId="164" fontId="8" fillId="0" borderId="0" xfId="0" applyNumberFormat="1" applyFont="1" applyFill="1" applyBorder="1">
      <alignment readingOrder="1"/>
    </xf>
    <xf numFmtId="2" fontId="0" fillId="0" borderId="0" xfId="0" applyNumberFormat="1" applyFill="1" applyBorder="1">
      <alignment readingOrder="1"/>
    </xf>
    <xf numFmtId="0" fontId="11" fillId="0" borderId="0" xfId="0" applyFont="1" applyFill="1" applyBorder="1" applyAlignment="1">
      <alignment horizontal="center" wrapText="1" readingOrder="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164" fontId="0" fillId="0" borderId="0" xfId="0" applyNumberFormat="1"/>
    <xf numFmtId="0" fontId="10" fillId="0" borderId="0" xfId="0" applyFont="1">
      <alignment readingOrder="1"/>
    </xf>
    <xf numFmtId="49" fontId="0" fillId="0" borderId="0" xfId="0" applyNumberFormat="1">
      <alignment readingOrder="1"/>
    </xf>
    <xf numFmtId="9" fontId="10" fillId="0" borderId="0" xfId="0" applyNumberFormat="1" applyFont="1">
      <alignment readingOrder="1"/>
    </xf>
    <xf numFmtId="0" fontId="0" fillId="5" borderId="0" xfId="0" applyFill="1">
      <alignment readingOrder="1"/>
    </xf>
    <xf numFmtId="1" fontId="10"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0" fontId="0" fillId="0" borderId="0" xfId="0" applyNumberFormat="1">
      <alignment readingOrder="1"/>
    </xf>
    <xf numFmtId="1" fontId="0" fillId="0" borderId="0" xfId="0" applyNumberFormat="1" applyFont="1">
      <alignment readingOrder="1"/>
    </xf>
    <xf numFmtId="0" fontId="0" fillId="12" borderId="0" xfId="0" applyFill="1">
      <alignment readingOrder="1"/>
    </xf>
    <xf numFmtId="0" fontId="0" fillId="0" borderId="0" xfId="0" quotePrefix="1" applyFill="1">
      <alignment readingOrder="1"/>
    </xf>
    <xf numFmtId="0" fontId="18" fillId="6" borderId="5" xfId="0" applyFont="1" applyFill="1" applyBorder="1"/>
    <xf numFmtId="9" fontId="4" fillId="13" borderId="0" xfId="9" applyFill="1" applyAlignment="1">
      <alignment horizontal="center" readingOrder="1"/>
    </xf>
    <xf numFmtId="1" fontId="0" fillId="10" borderId="0" xfId="0" applyNumberFormat="1" applyFill="1" applyAlignment="1">
      <alignment horizontal="center" readingOrder="1"/>
    </xf>
    <xf numFmtId="0" fontId="18" fillId="14" borderId="1" xfId="0" applyFont="1" applyFill="1" applyBorder="1"/>
    <xf numFmtId="0" fontId="18" fillId="14" borderId="4" xfId="0" applyFont="1" applyFill="1" applyBorder="1"/>
    <xf numFmtId="0" fontId="18" fillId="14" borderId="3" xfId="0" applyFont="1" applyFill="1" applyBorder="1"/>
    <xf numFmtId="0" fontId="18" fillId="14" borderId="11" xfId="0" applyFont="1" applyFill="1" applyBorder="1"/>
    <xf numFmtId="0" fontId="18" fillId="14" borderId="12" xfId="0" applyFont="1" applyFill="1" applyBorder="1"/>
    <xf numFmtId="0" fontId="18" fillId="14" borderId="13" xfId="0" applyFont="1" applyFill="1" applyBorder="1"/>
    <xf numFmtId="0" fontId="18" fillId="14" borderId="5" xfId="0" applyFont="1" applyFill="1" applyBorder="1"/>
    <xf numFmtId="0" fontId="18" fillId="13" borderId="5" xfId="0" applyFont="1" applyFill="1" applyBorder="1"/>
    <xf numFmtId="164" fontId="18" fillId="13" borderId="5" xfId="0" applyNumberFormat="1" applyFont="1" applyFill="1" applyBorder="1"/>
    <xf numFmtId="164" fontId="0" fillId="15" borderId="0" xfId="0" applyNumberFormat="1" applyFill="1" applyAlignment="1">
      <alignment horizontal="center" readingOrder="1"/>
    </xf>
    <xf numFmtId="9" fontId="18" fillId="14" borderId="5" xfId="9" applyFont="1" applyFill="1" applyBorder="1"/>
    <xf numFmtId="1" fontId="0" fillId="13" borderId="0" xfId="0" applyNumberFormat="1" applyFill="1" applyAlignment="1">
      <alignment horizontal="center" readingOrder="1"/>
    </xf>
    <xf numFmtId="9" fontId="0" fillId="0" borderId="0" xfId="9" applyFont="1"/>
    <xf numFmtId="0" fontId="4" fillId="0" borderId="0" xfId="14">
      <alignment readingOrder="1"/>
    </xf>
    <xf numFmtId="0" fontId="23" fillId="11" borderId="14" xfId="0" applyFont="1" applyFill="1" applyBorder="1"/>
    <xf numFmtId="0" fontId="23" fillId="11" borderId="15" xfId="0" applyFont="1" applyFill="1" applyBorder="1"/>
    <xf numFmtId="0" fontId="23" fillId="11" borderId="8" xfId="0" applyFont="1" applyFill="1" applyBorder="1"/>
    <xf numFmtId="0" fontId="19" fillId="0" borderId="0" xfId="0" applyFont="1"/>
    <xf numFmtId="0" fontId="21" fillId="14" borderId="16" xfId="15" applyFont="1" applyFill="1" applyBorder="1" applyAlignment="1">
      <alignment horizontal="left" vertical="center" wrapText="1"/>
    </xf>
    <xf numFmtId="0" fontId="10" fillId="14" borderId="5" xfId="15" applyFont="1" applyFill="1" applyBorder="1" applyAlignment="1">
      <alignment horizontal="left" vertical="center" wrapText="1"/>
    </xf>
    <xf numFmtId="0" fontId="4" fillId="0" borderId="5" xfId="15" applyFont="1" applyFill="1" applyBorder="1" applyAlignment="1">
      <alignment horizontal="left" vertical="center" wrapText="1"/>
    </xf>
    <xf numFmtId="0" fontId="4" fillId="0" borderId="5" xfId="15" applyFont="1" applyBorder="1" applyAlignment="1">
      <alignment horizontal="left" vertical="center" wrapText="1" readingOrder="1"/>
    </xf>
    <xf numFmtId="0" fontId="4" fillId="0" borderId="5" xfId="15" applyNumberFormat="1" applyFont="1" applyBorder="1" applyAlignment="1">
      <alignment horizontal="left" vertical="center" wrapText="1" readingOrder="1"/>
    </xf>
    <xf numFmtId="0" fontId="21" fillId="14" borderId="5" xfId="15" applyFont="1" applyFill="1" applyBorder="1" applyAlignment="1">
      <alignment horizontal="left" vertical="center" wrapText="1"/>
    </xf>
    <xf numFmtId="0" fontId="20" fillId="0" borderId="5" xfId="15" applyFont="1" applyBorder="1" applyAlignment="1">
      <alignment horizontal="left" vertical="center" wrapText="1" readingOrder="1"/>
    </xf>
    <xf numFmtId="0" fontId="20"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7" fillId="59" borderId="7" xfId="2" applyFont="1" applyFill="1" applyBorder="1" applyAlignment="1">
      <alignment horizontal="center"/>
    </xf>
    <xf numFmtId="0" fontId="9" fillId="10" borderId="7" xfId="2" applyFont="1" applyFill="1" applyBorder="1" applyAlignment="1">
      <alignment horizontal="center" wrapText="1"/>
    </xf>
    <xf numFmtId="0" fontId="9" fillId="10" borderId="5" xfId="2" applyFont="1" applyFill="1" applyBorder="1" applyAlignment="1">
      <alignment horizontal="center" wrapText="1"/>
    </xf>
    <xf numFmtId="0" fontId="19" fillId="0" borderId="5" xfId="15" applyFont="1" applyFill="1" applyBorder="1" applyAlignment="1">
      <alignment horizontal="left" vertical="center" wrapText="1"/>
    </xf>
    <xf numFmtId="9" fontId="0" fillId="0" borderId="30" xfId="0" applyNumberFormat="1" applyBorder="1"/>
    <xf numFmtId="9" fontId="0" fillId="13" borderId="0" xfId="9" applyFont="1" applyFill="1" applyAlignment="1">
      <alignment horizontal="center" readingOrder="1"/>
    </xf>
    <xf numFmtId="171" fontId="0" fillId="0" borderId="0" xfId="12" applyNumberFormat="1" applyFont="1"/>
    <xf numFmtId="168" fontId="0" fillId="0" borderId="0" xfId="146" applyNumberFormat="1" applyFont="1"/>
    <xf numFmtId="44" fontId="0" fillId="0" borderId="0" xfId="1" applyFont="1"/>
    <xf numFmtId="171" fontId="10" fillId="8" borderId="9" xfId="365" applyNumberFormat="1" applyFont="1" applyFill="1" applyBorder="1" applyAlignment="1">
      <alignment wrapText="1"/>
    </xf>
    <xf numFmtId="171" fontId="10" fillId="8" borderId="31" xfId="365" applyNumberFormat="1" applyFont="1" applyFill="1" applyBorder="1" applyAlignment="1">
      <alignment horizontal="center" wrapText="1"/>
    </xf>
    <xf numFmtId="171" fontId="10" fillId="8" borderId="32" xfId="365" applyNumberFormat="1" applyFont="1" applyFill="1" applyBorder="1" applyAlignment="1">
      <alignment horizontal="center" wrapText="1"/>
    </xf>
    <xf numFmtId="171" fontId="10" fillId="8" borderId="33" xfId="365" applyNumberFormat="1" applyFont="1" applyFill="1" applyBorder="1" applyAlignment="1">
      <alignment horizontal="center" wrapText="1"/>
    </xf>
    <xf numFmtId="0" fontId="4" fillId="0" borderId="0" xfId="366" applyFont="1" applyAlignment="1">
      <alignment wrapText="1"/>
    </xf>
    <xf numFmtId="0" fontId="4" fillId="0" borderId="34" xfId="366" applyFont="1" applyBorder="1"/>
    <xf numFmtId="171" fontId="4" fillId="0" borderId="16" xfId="365" applyNumberFormat="1" applyFont="1" applyBorder="1"/>
    <xf numFmtId="173" fontId="4" fillId="0" borderId="35" xfId="366" applyNumberFormat="1" applyFont="1" applyBorder="1"/>
    <xf numFmtId="171" fontId="4" fillId="61" borderId="30" xfId="365" applyNumberFormat="1" applyFont="1" applyFill="1" applyBorder="1"/>
    <xf numFmtId="0" fontId="4" fillId="62" borderId="36" xfId="366" applyFont="1" applyFill="1" applyBorder="1"/>
    <xf numFmtId="0" fontId="4" fillId="0" borderId="0" xfId="366" applyFont="1"/>
    <xf numFmtId="0" fontId="4" fillId="0" borderId="37" xfId="366" applyFont="1" applyBorder="1"/>
    <xf numFmtId="171" fontId="4" fillId="0" borderId="5" xfId="365" applyNumberFormat="1" applyFont="1" applyBorder="1"/>
    <xf numFmtId="173" fontId="4" fillId="0" borderId="38" xfId="366" applyNumberFormat="1" applyFont="1" applyBorder="1"/>
    <xf numFmtId="0" fontId="4" fillId="62" borderId="30" xfId="366" applyFont="1" applyFill="1" applyBorder="1"/>
    <xf numFmtId="0" fontId="4" fillId="0" borderId="39" xfId="366" applyFont="1" applyBorder="1"/>
    <xf numFmtId="171" fontId="4" fillId="0" borderId="40" xfId="365" applyNumberFormat="1" applyFont="1" applyBorder="1"/>
    <xf numFmtId="173" fontId="4" fillId="0" borderId="41" xfId="366" applyNumberFormat="1" applyFont="1" applyBorder="1"/>
    <xf numFmtId="0" fontId="10" fillId="0" borderId="0" xfId="366" applyFont="1"/>
    <xf numFmtId="171" fontId="10" fillId="8" borderId="5" xfId="365" applyNumberFormat="1" applyFont="1" applyFill="1" applyBorder="1" applyAlignment="1">
      <alignment wrapText="1"/>
    </xf>
    <xf numFmtId="171" fontId="10" fillId="8" borderId="5" xfId="365" applyNumberFormat="1" applyFont="1" applyFill="1" applyBorder="1" applyAlignment="1">
      <alignment horizontal="center" wrapText="1"/>
    </xf>
    <xf numFmtId="0" fontId="58" fillId="0" borderId="5" xfId="366" applyBorder="1"/>
    <xf numFmtId="0" fontId="4" fillId="0" borderId="5" xfId="366" applyFont="1" applyBorder="1"/>
    <xf numFmtId="173" fontId="4" fillId="0" borderId="0" xfId="9" applyNumberFormat="1" applyFont="1"/>
    <xf numFmtId="171" fontId="4" fillId="0" borderId="0" xfId="366" applyNumberFormat="1" applyFont="1"/>
    <xf numFmtId="0" fontId="4" fillId="0" borderId="5" xfId="0" applyFont="1" applyBorder="1"/>
    <xf numFmtId="0" fontId="4" fillId="0" borderId="9" xfId="366" applyFont="1" applyBorder="1" applyAlignment="1">
      <alignment wrapText="1"/>
    </xf>
    <xf numFmtId="0" fontId="4" fillId="0" borderId="31" xfId="366" applyFont="1" applyBorder="1" applyAlignment="1">
      <alignment wrapText="1"/>
    </xf>
    <xf numFmtId="0" fontId="4" fillId="61" borderId="9" xfId="366" applyFont="1" applyFill="1" applyBorder="1"/>
    <xf numFmtId="0" fontId="4" fillId="61" borderId="31" xfId="366" applyFont="1" applyFill="1" applyBorder="1"/>
    <xf numFmtId="171" fontId="4" fillId="61" borderId="31" xfId="365" applyNumberFormat="1" applyFont="1" applyFill="1" applyBorder="1"/>
    <xf numFmtId="9" fontId="4" fillId="61" borderId="31" xfId="9" applyFill="1" applyBorder="1"/>
    <xf numFmtId="171" fontId="4" fillId="61" borderId="31" xfId="365" applyNumberFormat="1" applyFill="1" applyBorder="1"/>
    <xf numFmtId="0" fontId="4" fillId="63" borderId="42" xfId="366" applyFont="1" applyFill="1" applyBorder="1"/>
    <xf numFmtId="0" fontId="4" fillId="63" borderId="43" xfId="366" applyFont="1" applyFill="1" applyBorder="1"/>
    <xf numFmtId="171" fontId="4" fillId="63" borderId="43" xfId="365" applyNumberFormat="1" applyFill="1" applyBorder="1"/>
    <xf numFmtId="9" fontId="4" fillId="63" borderId="43" xfId="9" applyFill="1" applyBorder="1"/>
    <xf numFmtId="0" fontId="4" fillId="63" borderId="39" xfId="366" applyFont="1" applyFill="1" applyBorder="1"/>
    <xf numFmtId="0" fontId="4" fillId="63" borderId="40" xfId="366" applyFont="1" applyFill="1" applyBorder="1"/>
    <xf numFmtId="171" fontId="4" fillId="63" borderId="40" xfId="365" applyNumberFormat="1" applyFill="1" applyBorder="1"/>
    <xf numFmtId="9" fontId="4" fillId="63" borderId="40" xfId="9" applyFill="1" applyBorder="1"/>
    <xf numFmtId="0" fontId="4" fillId="62" borderId="9" xfId="366" applyFont="1" applyFill="1" applyBorder="1"/>
    <xf numFmtId="0" fontId="4" fillId="62" borderId="31" xfId="366" applyFont="1" applyFill="1" applyBorder="1"/>
    <xf numFmtId="171" fontId="4" fillId="62" borderId="31" xfId="365" applyNumberFormat="1" applyFill="1" applyBorder="1"/>
    <xf numFmtId="9" fontId="4" fillId="62" borderId="31" xfId="9" applyFill="1" applyBorder="1"/>
    <xf numFmtId="0" fontId="4" fillId="9" borderId="9" xfId="366" applyFont="1" applyFill="1" applyBorder="1"/>
    <xf numFmtId="0" fontId="4" fillId="9" borderId="31" xfId="366" applyFont="1" applyFill="1" applyBorder="1"/>
    <xf numFmtId="171" fontId="4" fillId="9" borderId="31" xfId="365" applyNumberFormat="1" applyFill="1" applyBorder="1"/>
    <xf numFmtId="9" fontId="4" fillId="9" borderId="31" xfId="9" applyFill="1" applyBorder="1"/>
    <xf numFmtId="0" fontId="4" fillId="0" borderId="42" xfId="366" applyFont="1" applyBorder="1"/>
    <xf numFmtId="0" fontId="4" fillId="0" borderId="43" xfId="366" applyFont="1" applyBorder="1"/>
    <xf numFmtId="171" fontId="4" fillId="0" borderId="43" xfId="365" applyNumberFormat="1" applyBorder="1"/>
    <xf numFmtId="9" fontId="4" fillId="0" borderId="43" xfId="9" applyBorder="1"/>
    <xf numFmtId="0" fontId="4" fillId="0" borderId="40" xfId="366" applyFont="1" applyBorder="1"/>
    <xf numFmtId="171" fontId="4" fillId="0" borderId="40" xfId="365" applyNumberFormat="1" applyBorder="1"/>
    <xf numFmtId="9" fontId="4" fillId="0" borderId="40" xfId="9" applyBorder="1"/>
    <xf numFmtId="0" fontId="4" fillId="0" borderId="0" xfId="366" applyFont="1" applyFill="1" applyBorder="1"/>
    <xf numFmtId="0" fontId="19" fillId="0" borderId="0" xfId="202"/>
    <xf numFmtId="0" fontId="0" fillId="14" borderId="0" xfId="0" applyFill="1">
      <alignment readingOrder="1"/>
    </xf>
    <xf numFmtId="0" fontId="0" fillId="14" borderId="0" xfId="0" applyFill="1" applyAlignment="1">
      <alignment vertical="center" wrapText="1" readingOrder="1"/>
    </xf>
    <xf numFmtId="2" fontId="0" fillId="10" borderId="0" xfId="0" applyNumberFormat="1" applyFill="1" applyAlignment="1">
      <alignment horizontal="center" readingOrder="1"/>
    </xf>
    <xf numFmtId="43" fontId="0" fillId="10" borderId="0" xfId="365" applyFont="1" applyFill="1" applyAlignment="1">
      <alignment horizontal="center" readingOrder="1"/>
    </xf>
    <xf numFmtId="164" fontId="59" fillId="0" borderId="0" xfId="0" applyNumberFormat="1" applyFont="1">
      <alignment readingOrder="1"/>
    </xf>
    <xf numFmtId="0" fontId="11" fillId="64" borderId="6" xfId="0" applyFont="1" applyFill="1" applyBorder="1" applyAlignment="1">
      <alignment horizontal="left" wrapText="1" readingOrder="1"/>
    </xf>
    <xf numFmtId="0" fontId="11" fillId="64" borderId="7" xfId="0" applyFont="1" applyFill="1" applyBorder="1" applyAlignment="1">
      <alignment horizontal="center" wrapText="1" readingOrder="1"/>
    </xf>
    <xf numFmtId="0" fontId="11" fillId="7" borderId="21" xfId="0" applyFont="1" applyFill="1" applyBorder="1" applyAlignment="1">
      <alignment horizontal="center" wrapText="1" readingOrder="1"/>
    </xf>
    <xf numFmtId="0" fontId="0" fillId="0" borderId="44" xfId="0" applyBorder="1">
      <alignment readingOrder="1"/>
    </xf>
    <xf numFmtId="0" fontId="0" fillId="0" borderId="45" xfId="0" applyBorder="1">
      <alignment readingOrder="1"/>
    </xf>
    <xf numFmtId="0" fontId="0" fillId="0" borderId="46" xfId="0" applyBorder="1">
      <alignment readingOrder="1"/>
    </xf>
    <xf numFmtId="0" fontId="0" fillId="0" borderId="47" xfId="0" applyBorder="1">
      <alignment readingOrder="1"/>
    </xf>
    <xf numFmtId="0" fontId="0" fillId="0" borderId="0" xfId="0" applyBorder="1">
      <alignment readingOrder="1"/>
    </xf>
    <xf numFmtId="0" fontId="0" fillId="0" borderId="48" xfId="0" applyBorder="1">
      <alignment readingOrder="1"/>
    </xf>
    <xf numFmtId="0" fontId="0" fillId="0" borderId="49" xfId="0" applyBorder="1">
      <alignment readingOrder="1"/>
    </xf>
    <xf numFmtId="0" fontId="0" fillId="0" borderId="50" xfId="0" applyBorder="1">
      <alignment readingOrder="1"/>
    </xf>
    <xf numFmtId="0" fontId="0" fillId="0" borderId="51" xfId="0" applyBorder="1">
      <alignment readingOrder="1"/>
    </xf>
    <xf numFmtId="0" fontId="9" fillId="65" borderId="14" xfId="0" applyFont="1" applyFill="1" applyBorder="1" applyAlignment="1">
      <alignment horizontal="centerContinuous" wrapText="1" readingOrder="1"/>
    </xf>
    <xf numFmtId="0" fontId="9" fillId="65" borderId="8" xfId="0" applyFont="1" applyFill="1" applyBorder="1" applyAlignment="1">
      <alignment horizontal="centerContinuous" wrapText="1" readingOrder="1"/>
    </xf>
    <xf numFmtId="164" fontId="9" fillId="65" borderId="14" xfId="0" applyNumberFormat="1" applyFont="1" applyFill="1" applyBorder="1" applyAlignment="1">
      <alignment horizontal="centerContinuous" wrapText="1" readingOrder="1"/>
    </xf>
    <xf numFmtId="164" fontId="9" fillId="65" borderId="15" xfId="0" applyNumberFormat="1" applyFont="1" applyFill="1" applyBorder="1" applyAlignment="1">
      <alignment horizontal="centerContinuous" wrapText="1" readingOrder="1"/>
    </xf>
    <xf numFmtId="164" fontId="9" fillId="65" borderId="8" xfId="0" applyNumberFormat="1" applyFont="1" applyFill="1" applyBorder="1" applyAlignment="1">
      <alignment horizontal="centerContinuous" wrapText="1" readingOrder="1"/>
    </xf>
    <xf numFmtId="164" fontId="9" fillId="65" borderId="21" xfId="0" applyNumberFormat="1" applyFont="1" applyFill="1" applyBorder="1" applyAlignment="1">
      <alignment horizontal="center" wrapText="1" readingOrder="1"/>
    </xf>
    <xf numFmtId="174" fontId="9" fillId="8" borderId="7" xfId="0" applyNumberFormat="1" applyFont="1" applyFill="1" applyBorder="1" applyAlignment="1">
      <alignment horizontal="center" wrapText="1" readingOrder="1"/>
    </xf>
    <xf numFmtId="164" fontId="8" fillId="0" borderId="0" xfId="0" applyNumberFormat="1" applyFont="1">
      <alignment readingOrder="1"/>
    </xf>
    <xf numFmtId="0" fontId="9" fillId="9" borderId="14" xfId="0" applyFont="1" applyFill="1" applyBorder="1" applyAlignment="1">
      <alignment horizontal="centerContinuous" wrapText="1" readingOrder="1"/>
    </xf>
    <xf numFmtId="0" fontId="9" fillId="9" borderId="15" xfId="0" applyFont="1" applyFill="1" applyBorder="1" applyAlignment="1">
      <alignment horizontal="centerContinuous" wrapText="1" readingOrder="1"/>
    </xf>
    <xf numFmtId="164" fontId="9" fillId="9" borderId="15" xfId="0" applyNumberFormat="1" applyFont="1" applyFill="1" applyBorder="1" applyAlignment="1">
      <alignment horizontal="centerContinuous" wrapText="1" readingOrder="1"/>
    </xf>
    <xf numFmtId="164" fontId="9" fillId="9" borderId="21" xfId="0" applyNumberFormat="1" applyFont="1" applyFill="1" applyBorder="1" applyAlignment="1">
      <alignment horizontal="center" wrapText="1" readingOrder="1"/>
    </xf>
    <xf numFmtId="164" fontId="9" fillId="9" borderId="14" xfId="0" applyNumberFormat="1" applyFont="1" applyFill="1" applyBorder="1" applyAlignment="1">
      <alignment horizontal="centerContinuous" wrapText="1" readingOrder="1"/>
    </xf>
    <xf numFmtId="175" fontId="10" fillId="0" borderId="0" xfId="0" applyNumberFormat="1" applyFont="1">
      <alignment readingOrder="1"/>
    </xf>
    <xf numFmtId="175" fontId="0" fillId="0" borderId="0" xfId="0" applyNumberFormat="1">
      <alignment readingOrder="1"/>
    </xf>
    <xf numFmtId="175" fontId="59" fillId="0" borderId="0" xfId="0" applyNumberFormat="1" applyFont="1">
      <alignment readingOrder="1"/>
    </xf>
    <xf numFmtId="0" fontId="4" fillId="0" borderId="5" xfId="15" applyNumberFormat="1" applyFont="1" applyFill="1" applyBorder="1" applyAlignment="1">
      <alignment horizontal="left" vertical="center" wrapText="1" readingOrder="1"/>
    </xf>
    <xf numFmtId="168" fontId="0" fillId="0" borderId="0" xfId="1" applyNumberFormat="1" applyFont="1"/>
    <xf numFmtId="164" fontId="0" fillId="12" borderId="0" xfId="0" applyNumberFormat="1" applyFill="1">
      <alignment readingOrder="1"/>
    </xf>
    <xf numFmtId="0" fontId="0" fillId="11"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0" borderId="5" xfId="2" applyFont="1" applyFill="1" applyBorder="1" applyAlignment="1">
      <alignment horizontal="center"/>
    </xf>
  </cellXfs>
  <cellStyles count="367">
    <cellStyle name="20% - Accent1 2" xfId="16"/>
    <cellStyle name="20% - Accent1 2 2" xfId="17"/>
    <cellStyle name="20% - Accent1 3" xfId="18"/>
    <cellStyle name="20% - Accent2 2" xfId="19"/>
    <cellStyle name="20% - Accent2 3" xfId="20"/>
    <cellStyle name="20% - Accent3 2" xfId="21"/>
    <cellStyle name="20% - Accent3 2 2" xfId="22"/>
    <cellStyle name="20% - Accent3 3" xfId="23"/>
    <cellStyle name="20% - Accent4 2" xfId="24"/>
    <cellStyle name="20% - Accent4 2 2" xfId="25"/>
    <cellStyle name="20% - Accent4 3" xfId="26"/>
    <cellStyle name="20% - Accent5 2" xfId="27"/>
    <cellStyle name="20% - Accent5 3" xfId="28"/>
    <cellStyle name="20% - Accent6 2" xfId="29"/>
    <cellStyle name="20% - Accent6 3" xfId="30"/>
    <cellStyle name="40% - Accent1 2" xfId="31"/>
    <cellStyle name="40% - Accent1 2 2" xfId="32"/>
    <cellStyle name="40% - Accent1 3" xfId="33"/>
    <cellStyle name="40% - Accent2 2" xfId="34"/>
    <cellStyle name="40% - Accent2 2 2" xfId="35"/>
    <cellStyle name="40% - Accent2 3" xfId="36"/>
    <cellStyle name="40% - Accent3 2" xfId="37"/>
    <cellStyle name="40% - Accent3 2 2" xfId="38"/>
    <cellStyle name="40% - Accent3 3" xfId="39"/>
    <cellStyle name="40% - Accent4 2" xfId="40"/>
    <cellStyle name="40% - Accent4 2 2" xfId="41"/>
    <cellStyle name="40% - Accent4 3" xfId="42"/>
    <cellStyle name="40% - Accent5 2" xfId="43"/>
    <cellStyle name="40% - Accent5 3" xfId="44"/>
    <cellStyle name="40% - Accent6 2" xfId="45"/>
    <cellStyle name="40% - Accent6 2 2" xfId="46"/>
    <cellStyle name="40% - Accent6 3" xfId="47"/>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365" builtinId="3"/>
    <cellStyle name="Comma [0] 2" xfId="106"/>
    <cellStyle name="Comma 2" xfId="107"/>
    <cellStyle name="Comma 2 2" xfId="108"/>
    <cellStyle name="Comma 2 2 2" xfId="109"/>
    <cellStyle name="Comma 2 2 3" xfId="110"/>
    <cellStyle name="Comma 2 3" xfId="111"/>
    <cellStyle name="Comma 2 4" xfId="112"/>
    <cellStyle name="Comma 2 5" xfId="113"/>
    <cellStyle name="Comma 3" xfId="12"/>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4" xfId="145"/>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Name" xfId="6"/>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2" xfId="199"/>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5" xfId="208"/>
    <cellStyle name="Normal 15 2" xfId="209"/>
    <cellStyle name="Normal 15 2 2" xfId="210"/>
    <cellStyle name="Normal 15 3" xfId="211"/>
    <cellStyle name="Normal 15 4" xfId="212"/>
    <cellStyle name="Normal 16" xfId="213"/>
    <cellStyle name="Normal 16 2" xfId="214"/>
    <cellStyle name="Normal 16 3" xfId="215"/>
    <cellStyle name="Normal 17" xfId="216"/>
    <cellStyle name="Normal 17 2" xfId="217"/>
    <cellStyle name="Normal 18" xfId="218"/>
    <cellStyle name="Normal 19" xfId="219"/>
    <cellStyle name="Normal 2" xfId="10"/>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3" xfId="227"/>
    <cellStyle name="Normal 2 3 2" xfId="228"/>
    <cellStyle name="Normal 2 3 2 2" xfId="229"/>
    <cellStyle name="Normal 2 3 2 2 2" xfId="230"/>
    <cellStyle name="Normal 2 3 3" xfId="231"/>
    <cellStyle name="Normal 2 3 3 2" xfId="232"/>
    <cellStyle name="Normal 2 4" xfId="233"/>
    <cellStyle name="Normal 2 4 2" xfId="234"/>
    <cellStyle name="Normal 2 4 2 2" xfId="235"/>
    <cellStyle name="Normal 2 4 2 3" xfId="236"/>
    <cellStyle name="Normal 2 4 2 4" xfId="237"/>
    <cellStyle name="Normal 2 4 3" xfId="238"/>
    <cellStyle name="Normal 2 5" xfId="239"/>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9" xfId="255"/>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3" xfId="287"/>
    <cellStyle name="Normal 4 3 2" xfId="288"/>
    <cellStyle name="Normal 4 3 2 2" xfId="289"/>
    <cellStyle name="Normal 4 3 2 3" xfId="290"/>
    <cellStyle name="Normal 4 3 3" xfId="291"/>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0" xfId="313"/>
    <cellStyle name="Normal 6" xfId="314"/>
    <cellStyle name="Normal 7" xfId="315"/>
    <cellStyle name="Normal 7 2" xfId="316"/>
    <cellStyle name="Normal 8" xfId="317"/>
    <cellStyle name="Normal 8 2" xfId="318"/>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rmal_SolarDHWFY07v1_check" xfId="366"/>
    <cellStyle name="Note 2" xfId="322"/>
    <cellStyle name="Note 2 2" xfId="323"/>
    <cellStyle name="Note 3" xfId="324"/>
    <cellStyle name="Output 2" xfId="325"/>
    <cellStyle name="Output 2 2" xfId="326"/>
    <cellStyle name="Output 3" xfId="327"/>
    <cellStyle name="Percent" xfId="9" builtinId="5"/>
    <cellStyle name="Percent 2" xfId="328"/>
    <cellStyle name="Percent 2 2" xfId="329"/>
    <cellStyle name="Percent 2 2 2" xfId="330"/>
    <cellStyle name="Percent 2 2 2 2" xfId="331"/>
    <cellStyle name="Percent 2 2 2 3" xfId="332"/>
    <cellStyle name="Percent 2 2 3" xfId="333"/>
    <cellStyle name="Percent 2 2 4" xfId="334"/>
    <cellStyle name="Percent 2 3" xfId="335"/>
    <cellStyle name="Percent 2 3 2" xfId="336"/>
    <cellStyle name="Percent 2 3 3" xfId="337"/>
    <cellStyle name="Percent 3" xfId="11"/>
    <cellStyle name="Percent 3 2" xfId="338"/>
    <cellStyle name="Percent 3 2 2" xfId="339"/>
    <cellStyle name="Percent 3 2 3" xfId="340"/>
    <cellStyle name="Percent 3 3" xfId="341"/>
    <cellStyle name="Percent 3 4" xfId="342"/>
    <cellStyle name="Percent 4" xfId="343"/>
    <cellStyle name="Percent 4 2" xfId="344"/>
    <cellStyle name="Percent 5" xfId="345"/>
    <cellStyle name="Percent 6" xfId="346"/>
    <cellStyle name="Percent 6 2" xfId="347"/>
    <cellStyle name="Percent 7" xfId="348"/>
    <cellStyle name="Percent 8" xfId="34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HPWH-7P_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J/Demand%20Forecasting%20Model/Residential%20characterisitics/Residential%20background%20file%20Jan%202015%20versio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NewSat" refersTo="='SATS'!$B$87:$F$152"/>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row r="120">
          <cell r="B120" t="str">
            <v>List and links to measure-level files. Plus housekeeping and administrative functions.</v>
          </cell>
        </row>
        <row r="121">
          <cell r="B121" t="str">
            <v>Applicability factor for the measure bundle.  Fraction of stock the measure applies to.</v>
          </cell>
        </row>
        <row r="122">
          <cell r="B122" t="str">
            <v>Baseline penetration of measure bundles.  Estimated fraction of stock where the measure is already in place.</v>
          </cell>
        </row>
        <row r="123">
          <cell r="B123" t="str">
            <v>Vintage cohort for measure bundles.</v>
          </cell>
        </row>
        <row r="124">
          <cell r="B124" t="str">
            <v>Turnover rate for stock to which measure applies.</v>
          </cell>
        </row>
        <row r="125">
          <cell r="B125" t="str">
            <v>Achievable rate of acquisition for measure bundles by year</v>
          </cell>
        </row>
        <row r="126">
          <cell r="B126" t="str">
            <v>Tables developed to estimate regional baseline penetration for various elements of energy codes by jurisdiction</v>
          </cell>
        </row>
        <row r="127">
          <cell r="B127" t="str">
            <v xml:space="preserve">Key characteristics for stock by vintage cohort and building subtype.  Used to develop regional application of measures. </v>
          </cell>
        </row>
        <row r="128">
          <cell r="B128" t="str">
            <v>Floor area forecast summary used to develop data in CHAR</v>
          </cell>
        </row>
        <row r="129">
          <cell r="B129" t="str">
            <v>List of variables and definitions used in the CHAR tab and elsewhere in the files.</v>
          </cell>
        </row>
        <row r="130">
          <cell r="B130" t="str">
            <v>Map of building types labels from different sources.</v>
          </cell>
        </row>
        <row r="131">
          <cell r="B131" t="str">
            <v>Lookup table for vintage cohort</v>
          </cell>
        </row>
        <row r="132">
          <cell r="B132" t="str">
            <v xml:space="preserve">Reference UEC from various sources including RECS &amp; RBSA.  </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row>
        <row r="78">
          <cell r="A78">
            <v>0</v>
          </cell>
          <cell r="B78">
            <v>0</v>
          </cell>
          <cell r="C78" t="str">
            <v>Retro5Med</v>
          </cell>
          <cell r="D78">
            <v>4.2999999999999997E-2</v>
          </cell>
          <cell r="E78">
            <v>5.279714228027832E-2</v>
          </cell>
          <cell r="F78">
            <v>6.4608251467478173E-2</v>
          </cell>
        </row>
        <row r="79">
          <cell r="A79" t="str">
            <v>HVAC</v>
          </cell>
          <cell r="B79" t="str">
            <v>ECM for HVAC ventilation - New</v>
          </cell>
          <cell r="C79" t="str">
            <v>LO12Med</v>
          </cell>
          <cell r="D79">
            <v>0.10937459468255628</v>
          </cell>
          <cell r="E79">
            <v>0.21874918936511256</v>
          </cell>
          <cell r="F79">
            <v>0.32812378404766884</v>
          </cell>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accomplishments"/>
      <sheetName val="HVAC weighting"/>
      <sheetName val="M_Input_Out"/>
      <sheetName val="M_Input"/>
      <sheetName val="Segmented"/>
      <sheetName val="weighting"/>
      <sheetName val="Composite"/>
      <sheetName val="Raw"/>
      <sheetName val="Res-HPWH-7P_v3"/>
    </sheetNames>
    <sheetDataSet>
      <sheetData sheetId="0"/>
      <sheetData sheetId="1"/>
      <sheetData sheetId="2">
        <row r="10">
          <cell r="C10">
            <v>22.199518178603135</v>
          </cell>
        </row>
      </sheetData>
      <sheetData sheetId="3">
        <row r="10">
          <cell r="C10">
            <v>266.36862228974621</v>
          </cell>
        </row>
        <row r="218">
          <cell r="F218">
            <v>4202085.27737753</v>
          </cell>
          <cell r="G218">
            <v>4190280.1577994851</v>
          </cell>
          <cell r="H218">
            <v>4176249.020188143</v>
          </cell>
          <cell r="I218">
            <v>4158880.7440845841</v>
          </cell>
          <cell r="J218">
            <v>4137199.2441678727</v>
          </cell>
          <cell r="K218">
            <v>4110710.8461319762</v>
          </cell>
          <cell r="L218">
            <v>4079670.0752234017</v>
          </cell>
          <cell r="M218">
            <v>4045139.5886793537</v>
          </cell>
          <cell r="N218">
            <v>4008805.7284006802</v>
          </cell>
          <cell r="O218">
            <v>3972616.0220722822</v>
          </cell>
          <cell r="P218">
            <v>3938371.6741987197</v>
          </cell>
          <cell r="Q218">
            <v>3907408.1306946869</v>
          </cell>
          <cell r="R218">
            <v>3880442.0242869835</v>
          </cell>
          <cell r="S218">
            <v>3813155.4107035557</v>
          </cell>
          <cell r="T218">
            <v>3794350.4832488401</v>
          </cell>
          <cell r="U218">
            <v>3780044.7020271178</v>
          </cell>
          <cell r="V218">
            <v>3768186.6161069339</v>
          </cell>
          <cell r="W218">
            <v>3758715.6878711386</v>
          </cell>
          <cell r="X218">
            <v>3751971.610899989</v>
          </cell>
          <cell r="Y218">
            <v>3745829.7152490127</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T_DMD from Old Model"/>
      <sheetName val="Wa DMD from old Model"/>
      <sheetName val="Id_DMD from old Model"/>
      <sheetName val="OR DMD from Old Model"/>
      <sheetName val="LPG"/>
      <sheetName val="ID_allocation"/>
      <sheetName val="MT_allocation"/>
      <sheetName val="OR_allocation"/>
      <sheetName val="WA_allocation"/>
      <sheetName val=" XDMD Adjusted to SED-not used"/>
      <sheetName val=" XDMD not Adjed to SED  (2)"/>
      <sheetName val="Export XDEE"/>
      <sheetName val="Export XDPL"/>
      <sheetName val="relative gas and electricChart1"/>
      <sheetName val="house Characteristic"/>
      <sheetName val="space heating technology costs"/>
      <sheetName val="TMY3 Assumptions"/>
      <sheetName val="PNW HDD &amp; CDD Zones"/>
      <sheetName val="TOm Eckman's EUIs"/>
      <sheetName val="new additions from RdHD"/>
      <sheetName val="Existing DMD Space heating"/>
      <sheetName val=" DMD New Space heating"/>
      <sheetName val="PENT  New Space Heating"/>
      <sheetName val="EUI New Space Heating"/>
      <sheetName val="gas and electric price from red"/>
      <sheetName val="New Space Heating  EUI by ST  "/>
      <sheetName val="Sheet1"/>
      <sheetName val="CDD HDD"/>
      <sheetName val="Space heating from ACS"/>
      <sheetName val="American Community Survey"/>
      <sheetName val="PNWRES 1992 tables"/>
      <sheetName val="Appliance shp 2000-2005 AHAM"/>
      <sheetName val="SAT Other enduses"/>
      <sheetName val="Appliance standards"/>
      <sheetName val="Total SQF SH"/>
      <sheetName val="Sqf total"/>
      <sheetName val="Heatloss factor"/>
      <sheetName val="Total SQF (2)"/>
      <sheetName val="Space Heat Electric "/>
      <sheetName val="Space Heat Gas"/>
      <sheetName val="Space Heat Propane"/>
      <sheetName val="Space Heat Wood"/>
      <sheetName val="Space Heat Oil"/>
      <sheetName val="AC saturation rates"/>
      <sheetName val="Room Ac assumptions"/>
      <sheetName val="PTAC Electric assumptions"/>
      <sheetName val="PTAC Gas assumptions"/>
      <sheetName val="Central Ac assumptions "/>
      <sheetName val="Central AC Ductless HP"/>
      <sheetName val="Central Ac assumptions  HP"/>
      <sheetName val="XDEE 7th plan"/>
      <sheetName val="lighting 7th plan"/>
      <sheetName val="Lighting assumptions"/>
      <sheetName val="Freezer assumptions"/>
      <sheetName val="refrig. Assumptions"/>
      <sheetName val="Water Heater Heat pump"/>
      <sheetName val="Water Heater Storage-Elect&lt;55"/>
      <sheetName val="Water Heater Storage-Elec &gt;55"/>
      <sheetName val="Water Heater Storage -GAS &gt;55"/>
      <sheetName val="Water Heater Tankless - Gas"/>
      <sheetName val="Water Heater Tankless - Elect"/>
      <sheetName val="Water Heater storage-Gas &lt;55"/>
      <sheetName val="Water Heater Assumptions-Oil"/>
      <sheetName val="Water Heater Assmpt-Propane"/>
      <sheetName val="Water Heater Solar"/>
      <sheetName val="clothes washer assumptions"/>
      <sheetName val="dishwasher assumptions"/>
      <sheetName val="Clothes dryer Electric"/>
      <sheetName val="Clothes dryer Gas"/>
      <sheetName val="Cooking Electric "/>
      <sheetName val="Cooking Gas"/>
      <sheetName val="Cooking Propane"/>
      <sheetName val="MISC ENDUSES-Electric"/>
      <sheetName val="MISC ENDUSES-Gas"/>
      <sheetName val="ICE 7P"/>
      <sheetName val="ICE 7P UEC stock"/>
      <sheetName val="RBSA Metering"/>
      <sheetName val="Sheet11"/>
      <sheetName val="Intensity"/>
      <sheetName val="XDMD7"/>
      <sheetName val="XDMD pivots"/>
      <sheetName val="XDST7"/>
      <sheetName val="PNWres characteristic"/>
      <sheetName val="Average EUI other enduses"/>
      <sheetName val="lifetime"/>
      <sheetName val="Entertainment "/>
      <sheetName val="Marginal EUI other enduses"/>
      <sheetName val="Appliance EUI all buildings"/>
      <sheetName val="Dimensions"/>
      <sheetName val="Residential gas accounts"/>
      <sheetName val="# of new homes from redhead"/>
      <sheetName val="DMD new sH tech"/>
      <sheetName val="HDD CDD"/>
      <sheetName val="tech curves and cost for sh"/>
      <sheetName val="space heating by tech"/>
      <sheetName val="% HH without Appliance "/>
      <sheetName val="non-sh Saturation rates"/>
      <sheetName val="Saturation rates by technology"/>
      <sheetName val="Average MW"/>
      <sheetName val="Number of households"/>
      <sheetName val="DMD"/>
      <sheetName val="thermal integrity"/>
      <sheetName val="1979 Market share space heating"/>
      <sheetName val="1979 saturation rates"/>
      <sheetName val="1979 saturation rates (2)"/>
      <sheetName val="RECS 2009"/>
      <sheetName val="RECS 2005"/>
      <sheetName val="Basecase "/>
      <sheetName val="PNW climtate zones"/>
      <sheetName val="multifamily RBSA 2012"/>
      <sheetName val="SEDS Consumption"/>
      <sheetName val="7th plan XDMD XDST enduse sort"/>
      <sheetName val="7th plan XDMD XDST"/>
      <sheetName val="Allocating XDMD to enduses"/>
      <sheetName val="2020 Keys"/>
      <sheetName val="Esource PLug loads"/>
      <sheetName val="Sheet8"/>
      <sheetName val="Building energy data book"/>
      <sheetName val="AEO eff and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ow r="15">
          <cell r="A15" t="str">
            <v>Curry County, OR</v>
          </cell>
          <cell r="B15">
            <v>22248</v>
          </cell>
        </row>
        <row r="16">
          <cell r="A16" t="str">
            <v>Josephine County, OR</v>
          </cell>
          <cell r="B16">
            <v>82930</v>
          </cell>
        </row>
        <row r="17">
          <cell r="A17" t="str">
            <v>Douglas County, OR</v>
          </cell>
          <cell r="B17">
            <v>107164</v>
          </cell>
        </row>
        <row r="18">
          <cell r="A18" t="str">
            <v>Clackamas County, OR</v>
          </cell>
          <cell r="B18">
            <v>383857</v>
          </cell>
        </row>
        <row r="19">
          <cell r="A19" t="str">
            <v>Coos County, OR</v>
          </cell>
          <cell r="B19">
            <v>62534</v>
          </cell>
        </row>
        <row r="20">
          <cell r="A20" t="str">
            <v>Lane County, OR</v>
          </cell>
          <cell r="B20">
            <v>354542</v>
          </cell>
        </row>
        <row r="21">
          <cell r="A21" t="str">
            <v>Multnomah County, OR</v>
          </cell>
          <cell r="B21">
            <v>759256</v>
          </cell>
        </row>
        <row r="22">
          <cell r="A22" t="str">
            <v>Wasco County, OR</v>
          </cell>
          <cell r="B22">
            <v>25487</v>
          </cell>
        </row>
        <row r="23">
          <cell r="A23" t="str">
            <v>Pierce County, WA</v>
          </cell>
          <cell r="B23">
            <v>811681</v>
          </cell>
        </row>
        <row r="24">
          <cell r="A24" t="str">
            <v>Linn County, OR</v>
          </cell>
          <cell r="B24">
            <v>118360</v>
          </cell>
        </row>
        <row r="25">
          <cell r="A25" t="str">
            <v>Jackson County, OR</v>
          </cell>
          <cell r="B25">
            <v>206412</v>
          </cell>
        </row>
        <row r="26">
          <cell r="A26" t="str">
            <v>Yamhill County, OR</v>
          </cell>
          <cell r="B26">
            <v>100255</v>
          </cell>
        </row>
        <row r="27">
          <cell r="A27" t="str">
            <v>Washington County, OR</v>
          </cell>
          <cell r="B27">
            <v>547672</v>
          </cell>
        </row>
        <row r="28">
          <cell r="A28" t="str">
            <v>Benton County, OR</v>
          </cell>
          <cell r="B28">
            <v>86430</v>
          </cell>
        </row>
        <row r="29">
          <cell r="A29" t="str">
            <v>Franklin County, WA</v>
          </cell>
          <cell r="B29">
            <v>85845</v>
          </cell>
        </row>
        <row r="30">
          <cell r="A30" t="str">
            <v>King County, WA</v>
          </cell>
          <cell r="B30">
            <v>2007440</v>
          </cell>
        </row>
        <row r="31">
          <cell r="A31" t="str">
            <v>Marion County, OR</v>
          </cell>
          <cell r="B31">
            <v>319985</v>
          </cell>
        </row>
        <row r="32">
          <cell r="A32" t="str">
            <v>Polk County, OR</v>
          </cell>
          <cell r="B32">
            <v>76353</v>
          </cell>
        </row>
        <row r="33">
          <cell r="A33" t="str">
            <v>Benton County, WA</v>
          </cell>
          <cell r="B33">
            <v>182398</v>
          </cell>
        </row>
        <row r="34">
          <cell r="A34" t="str">
            <v>Clatsop County, OR</v>
          </cell>
          <cell r="B34">
            <v>37301</v>
          </cell>
        </row>
        <row r="35">
          <cell r="A35" t="str">
            <v>Columbia County, OR</v>
          </cell>
          <cell r="B35">
            <v>49286</v>
          </cell>
        </row>
        <row r="36">
          <cell r="A36" t="str">
            <v>Mason County, WA</v>
          </cell>
          <cell r="B36">
            <v>60832</v>
          </cell>
        </row>
        <row r="37">
          <cell r="A37" t="str">
            <v>Jefferson County, WA</v>
          </cell>
          <cell r="B37">
            <v>29854</v>
          </cell>
        </row>
        <row r="38">
          <cell r="A38" t="str">
            <v>Walla Walla County, WA</v>
          </cell>
          <cell r="B38">
            <v>59404</v>
          </cell>
        </row>
        <row r="39">
          <cell r="A39" t="str">
            <v>Lewis County, WA</v>
          </cell>
          <cell r="B39">
            <v>75621</v>
          </cell>
        </row>
        <row r="40">
          <cell r="A40" t="str">
            <v>Cowlitz County, WA</v>
          </cell>
          <cell r="B40">
            <v>101996</v>
          </cell>
        </row>
        <row r="41">
          <cell r="A41" t="str">
            <v>Grays Harbor County, WA</v>
          </cell>
          <cell r="B41">
            <v>71692</v>
          </cell>
        </row>
        <row r="42">
          <cell r="A42" t="str">
            <v>Kitsap County, WA</v>
          </cell>
          <cell r="B42">
            <v>254991</v>
          </cell>
        </row>
        <row r="43">
          <cell r="A43" t="str">
            <v>Umatilla County, OR</v>
          </cell>
          <cell r="B43">
            <v>76820</v>
          </cell>
        </row>
        <row r="44">
          <cell r="A44" t="str">
            <v>Tillamook County, OR</v>
          </cell>
          <cell r="B44">
            <v>25287</v>
          </cell>
        </row>
        <row r="45">
          <cell r="A45" t="str">
            <v>Clark County, WA</v>
          </cell>
          <cell r="B45">
            <v>438287</v>
          </cell>
        </row>
        <row r="46">
          <cell r="A46" t="str">
            <v>Snohomish County, WA</v>
          </cell>
          <cell r="B46">
            <v>733036</v>
          </cell>
        </row>
        <row r="47">
          <cell r="A47" t="str">
            <v>Nez Perce County, ID</v>
          </cell>
          <cell r="B47">
            <v>39531</v>
          </cell>
        </row>
        <row r="48">
          <cell r="A48" t="str">
            <v>Morrow County, OR</v>
          </cell>
          <cell r="B48">
            <v>11244</v>
          </cell>
        </row>
        <row r="49">
          <cell r="A49" t="str">
            <v>Lincoln County, OR</v>
          </cell>
          <cell r="B49">
            <v>46151</v>
          </cell>
        </row>
        <row r="50">
          <cell r="A50" t="str">
            <v>Wahkiakum County, WA</v>
          </cell>
          <cell r="B50">
            <v>3993</v>
          </cell>
        </row>
        <row r="51">
          <cell r="A51" t="str">
            <v>Pacific County, WA</v>
          </cell>
          <cell r="B51">
            <v>20575</v>
          </cell>
        </row>
        <row r="52">
          <cell r="A52" t="str">
            <v>Skagit County, WA</v>
          </cell>
          <cell r="B52">
            <v>118222</v>
          </cell>
        </row>
        <row r="53">
          <cell r="A53" t="str">
            <v>Asotin County, WA</v>
          </cell>
          <cell r="B53">
            <v>21888</v>
          </cell>
        </row>
        <row r="54">
          <cell r="A54" t="str">
            <v>Hood River County, OR</v>
          </cell>
          <cell r="B54">
            <v>22584</v>
          </cell>
        </row>
        <row r="55">
          <cell r="A55" t="str">
            <v>Garfield County, WA</v>
          </cell>
          <cell r="B55">
            <v>2228</v>
          </cell>
        </row>
        <row r="56">
          <cell r="A56" t="str">
            <v>Island County, WA</v>
          </cell>
          <cell r="B56">
            <v>79177</v>
          </cell>
        </row>
        <row r="57">
          <cell r="A57" t="str">
            <v>San Juan County, WA</v>
          </cell>
          <cell r="B57">
            <v>15824</v>
          </cell>
        </row>
        <row r="58">
          <cell r="A58" t="str">
            <v>Columbia County, WA</v>
          </cell>
          <cell r="B58">
            <v>3995</v>
          </cell>
        </row>
        <row r="59">
          <cell r="A59" t="str">
            <v>Whatcom County, WA</v>
          </cell>
          <cell r="B59">
            <v>205262</v>
          </cell>
        </row>
        <row r="60">
          <cell r="A60" t="str">
            <v>Owyhee County, ID</v>
          </cell>
          <cell r="B60">
            <v>11439</v>
          </cell>
        </row>
        <row r="61">
          <cell r="A61" t="str">
            <v>Payette County, ID</v>
          </cell>
          <cell r="B61">
            <v>22639</v>
          </cell>
        </row>
        <row r="62">
          <cell r="A62" t="str">
            <v>Thurston County, WA</v>
          </cell>
          <cell r="B62">
            <v>258332</v>
          </cell>
        </row>
        <row r="63">
          <cell r="A63" t="str">
            <v>Clallam County, WA</v>
          </cell>
          <cell r="B63">
            <v>71863</v>
          </cell>
        </row>
        <row r="64">
          <cell r="A64" t="str">
            <v>Chelan County, WA</v>
          </cell>
          <cell r="B64">
            <v>73687</v>
          </cell>
        </row>
        <row r="65">
          <cell r="A65" t="str">
            <v>Canyon County,ID</v>
          </cell>
          <cell r="B65">
            <v>124442</v>
          </cell>
        </row>
        <row r="66">
          <cell r="A66" t="str">
            <v>Malheur County, OR</v>
          </cell>
          <cell r="B66">
            <v>30630</v>
          </cell>
        </row>
        <row r="67">
          <cell r="A67" t="str">
            <v>Yakima County, WA</v>
          </cell>
          <cell r="B67">
            <v>246977</v>
          </cell>
        </row>
        <row r="68">
          <cell r="A68" t="str">
            <v>Ada County, ID</v>
          </cell>
          <cell r="B68">
            <v>409061</v>
          </cell>
        </row>
        <row r="69">
          <cell r="A69" t="str">
            <v>Douglas County, WA</v>
          </cell>
          <cell r="B69">
            <v>39350</v>
          </cell>
        </row>
        <row r="70">
          <cell r="A70" t="str">
            <v>Gilliam County, OR</v>
          </cell>
          <cell r="B70">
            <v>1953</v>
          </cell>
        </row>
        <row r="71">
          <cell r="A71" t="str">
            <v>Klickitat County, WA</v>
          </cell>
          <cell r="B71">
            <v>20699</v>
          </cell>
        </row>
        <row r="72">
          <cell r="A72" t="str">
            <v>Gem County, ID</v>
          </cell>
          <cell r="B72">
            <v>16673</v>
          </cell>
        </row>
        <row r="73">
          <cell r="A73" t="str">
            <v>Skamania County, WA</v>
          </cell>
          <cell r="B73">
            <v>11187</v>
          </cell>
        </row>
        <row r="74">
          <cell r="A74" t="str">
            <v>Sherman County, OR</v>
          </cell>
          <cell r="B74">
            <v>1732</v>
          </cell>
        </row>
        <row r="75">
          <cell r="A75" t="str">
            <v>Jefferson County, OR</v>
          </cell>
          <cell r="B75">
            <v>21749</v>
          </cell>
        </row>
        <row r="76">
          <cell r="A76" t="str">
            <v>Elmore County, ID</v>
          </cell>
          <cell r="B76">
            <v>26223</v>
          </cell>
        </row>
        <row r="77">
          <cell r="A77" t="str">
            <v>Grant County, WA</v>
          </cell>
          <cell r="B77">
            <v>91723</v>
          </cell>
        </row>
        <row r="78">
          <cell r="A78" t="str">
            <v>Adams County, WA</v>
          </cell>
          <cell r="B78">
            <v>19005</v>
          </cell>
        </row>
        <row r="79">
          <cell r="A79" t="str">
            <v>Kootenai County, ID</v>
          </cell>
          <cell r="B79">
            <v>142357</v>
          </cell>
        </row>
        <row r="80">
          <cell r="A80" t="str">
            <v>Idaho County, ID</v>
          </cell>
          <cell r="B80">
            <v>16308</v>
          </cell>
        </row>
        <row r="81">
          <cell r="A81" t="str">
            <v>Clearwater County, ID</v>
          </cell>
          <cell r="B81">
            <v>8590</v>
          </cell>
        </row>
        <row r="82">
          <cell r="A82" t="str">
            <v xml:space="preserve">Washington County, ID </v>
          </cell>
          <cell r="B82">
            <v>10099</v>
          </cell>
        </row>
        <row r="83">
          <cell r="A83" t="str">
            <v>Gooding County, ID</v>
          </cell>
          <cell r="B83">
            <v>15291</v>
          </cell>
        </row>
        <row r="84">
          <cell r="A84" t="str">
            <v>Union County, OR</v>
          </cell>
          <cell r="B84">
            <v>25759</v>
          </cell>
        </row>
        <row r="85">
          <cell r="A85" t="str">
            <v>Wheeler County, OR</v>
          </cell>
          <cell r="B85">
            <v>1424</v>
          </cell>
        </row>
        <row r="86">
          <cell r="A86" t="str">
            <v>Jerome County, ID</v>
          </cell>
          <cell r="B86">
            <v>22499</v>
          </cell>
        </row>
        <row r="87">
          <cell r="A87" t="str">
            <v>Grant County, OR</v>
          </cell>
          <cell r="B87">
            <v>7317</v>
          </cell>
        </row>
        <row r="88">
          <cell r="A88" t="str">
            <v>Crook County, OR</v>
          </cell>
          <cell r="B88">
            <v>20729</v>
          </cell>
        </row>
        <row r="89">
          <cell r="A89" t="str">
            <v>Klamath County, OR</v>
          </cell>
          <cell r="B89">
            <v>65912</v>
          </cell>
        </row>
        <row r="90">
          <cell r="A90" t="str">
            <v>Okanogan County, WA</v>
          </cell>
          <cell r="B90">
            <v>41275</v>
          </cell>
        </row>
        <row r="91">
          <cell r="A91" t="str">
            <v>Cassia County, ID</v>
          </cell>
          <cell r="B91">
            <v>23249</v>
          </cell>
        </row>
        <row r="92">
          <cell r="A92" t="str">
            <v>Benewah County, ID</v>
          </cell>
          <cell r="B92">
            <v>9117</v>
          </cell>
        </row>
        <row r="93">
          <cell r="A93" t="str">
            <v>Whitman County, WA</v>
          </cell>
          <cell r="B93">
            <v>46606</v>
          </cell>
        </row>
        <row r="94">
          <cell r="A94" t="str">
            <v>Twin Falls County, ID</v>
          </cell>
          <cell r="B94">
            <v>78595</v>
          </cell>
        </row>
        <row r="95">
          <cell r="A95" t="str">
            <v>Latah County, ID</v>
          </cell>
          <cell r="B95">
            <v>38184</v>
          </cell>
        </row>
        <row r="96">
          <cell r="A96" t="str">
            <v>Kittitas County, WA</v>
          </cell>
          <cell r="B96">
            <v>32021</v>
          </cell>
        </row>
        <row r="97">
          <cell r="A97" t="str">
            <v>Spokane County, WA</v>
          </cell>
          <cell r="B97">
            <v>475735</v>
          </cell>
        </row>
        <row r="98">
          <cell r="A98" t="str">
            <v>Sanders County, MT</v>
          </cell>
          <cell r="B98">
            <v>11408</v>
          </cell>
        </row>
        <row r="99">
          <cell r="A99" t="str">
            <v>Minidoka County, ID</v>
          </cell>
          <cell r="B99">
            <v>20037</v>
          </cell>
        </row>
        <row r="100">
          <cell r="A100" t="str">
            <v>Deschutes County, OR</v>
          </cell>
          <cell r="B100">
            <v>162277</v>
          </cell>
        </row>
        <row r="101">
          <cell r="A101" t="str">
            <v>Mineral County, MT</v>
          </cell>
          <cell r="B101">
            <v>4167</v>
          </cell>
        </row>
        <row r="102">
          <cell r="A102" t="str">
            <v>Stevens County, WA</v>
          </cell>
          <cell r="B102">
            <v>43538</v>
          </cell>
        </row>
        <row r="103">
          <cell r="A103" t="str">
            <v>Lincoln County, ID</v>
          </cell>
          <cell r="B103">
            <v>5277</v>
          </cell>
        </row>
        <row r="104">
          <cell r="A104" t="str">
            <v>Lake County, OR</v>
          </cell>
          <cell r="B104">
            <v>7771</v>
          </cell>
        </row>
        <row r="105">
          <cell r="A105" t="str">
            <v>Boundary County, ID</v>
          </cell>
        </row>
        <row r="106">
          <cell r="A106" t="str">
            <v>Power County, ID</v>
          </cell>
          <cell r="B106">
            <v>7778</v>
          </cell>
        </row>
        <row r="107">
          <cell r="A107" t="str">
            <v>Lincoln County, WA</v>
          </cell>
          <cell r="B107">
            <v>10437</v>
          </cell>
        </row>
        <row r="108">
          <cell r="A108" t="str">
            <v>Shoshone County, ID</v>
          </cell>
          <cell r="B108">
            <v>12702</v>
          </cell>
        </row>
        <row r="109">
          <cell r="A109" t="str">
            <v>Baker County, OR</v>
          </cell>
          <cell r="B109">
            <v>15909</v>
          </cell>
        </row>
        <row r="110">
          <cell r="A110" t="str">
            <v>Bannock County, ID</v>
          </cell>
          <cell r="B110">
            <v>83800</v>
          </cell>
        </row>
        <row r="111">
          <cell r="A111" t="str">
            <v>Lake County, MT</v>
          </cell>
          <cell r="B111">
            <v>28986</v>
          </cell>
        </row>
        <row r="112">
          <cell r="A112" t="str">
            <v>Lewis County, ID</v>
          </cell>
          <cell r="B112">
            <v>3889</v>
          </cell>
        </row>
        <row r="113">
          <cell r="A113" t="str">
            <v>Lincoln County, MT</v>
          </cell>
          <cell r="B113">
            <v>19491</v>
          </cell>
        </row>
        <row r="114">
          <cell r="A114" t="str">
            <v>Oneida County, ID</v>
          </cell>
          <cell r="B114">
            <v>4215</v>
          </cell>
        </row>
        <row r="115">
          <cell r="A115" t="str">
            <v>Bingham County, ID</v>
          </cell>
          <cell r="B115">
            <v>45474</v>
          </cell>
        </row>
        <row r="116">
          <cell r="A116" t="str">
            <v>Pend Oreille County, WA</v>
          </cell>
          <cell r="B116">
            <v>12980</v>
          </cell>
        </row>
        <row r="117">
          <cell r="A117" t="str">
            <v xml:space="preserve">Adams County, ID </v>
          </cell>
          <cell r="B117">
            <v>3915</v>
          </cell>
        </row>
        <row r="118">
          <cell r="A118" t="str">
            <v>Ravalli County, MT</v>
          </cell>
          <cell r="B118">
            <v>40617</v>
          </cell>
        </row>
        <row r="119">
          <cell r="A119" t="str">
            <v>Lemhi County, ID</v>
          </cell>
          <cell r="B119">
            <v>7758</v>
          </cell>
        </row>
        <row r="120">
          <cell r="A120" t="str">
            <v>Franklin County, ID</v>
          </cell>
          <cell r="B120">
            <v>12786</v>
          </cell>
        </row>
        <row r="121">
          <cell r="A121" t="str">
            <v>Bonner County, ID</v>
          </cell>
          <cell r="B121">
            <v>40476</v>
          </cell>
        </row>
        <row r="122">
          <cell r="A122" t="str">
            <v>Wallowa County, OR</v>
          </cell>
          <cell r="B122">
            <v>6821</v>
          </cell>
        </row>
        <row r="123">
          <cell r="A123" t="str">
            <v>Harney County, OR</v>
          </cell>
          <cell r="B123">
            <v>7212</v>
          </cell>
        </row>
        <row r="124">
          <cell r="A124" t="str">
            <v>Missoula County, MT</v>
          </cell>
          <cell r="B124">
            <v>110977</v>
          </cell>
        </row>
        <row r="125">
          <cell r="A125" t="str">
            <v>Boise County, ID</v>
          </cell>
          <cell r="B125">
            <v>6835</v>
          </cell>
        </row>
        <row r="126">
          <cell r="A126" t="str">
            <v>Anaconda-Deer Lodge County, MT</v>
          </cell>
          <cell r="B126">
            <v>9227</v>
          </cell>
        </row>
        <row r="127">
          <cell r="A127" t="str">
            <v>Lewis and Clark County, MT</v>
          </cell>
          <cell r="B127">
            <v>64876</v>
          </cell>
        </row>
        <row r="128">
          <cell r="A128" t="str">
            <v>Jefferson County, ID</v>
          </cell>
          <cell r="B128">
            <v>26684</v>
          </cell>
        </row>
        <row r="129">
          <cell r="A129" t="str">
            <v>Madison County, ID</v>
          </cell>
          <cell r="B129">
            <v>37456</v>
          </cell>
        </row>
        <row r="130">
          <cell r="A130" t="str">
            <v>Bonneville County, ID</v>
          </cell>
          <cell r="B130">
            <v>106684</v>
          </cell>
        </row>
        <row r="131">
          <cell r="A131" t="str">
            <v>Ferry County, WA</v>
          </cell>
          <cell r="B131">
            <v>7705</v>
          </cell>
        </row>
        <row r="132">
          <cell r="A132" t="str">
            <v>Flathead County, MT</v>
          </cell>
          <cell r="B132">
            <v>91633</v>
          </cell>
        </row>
        <row r="133">
          <cell r="A133" t="str">
            <v>Custer County, ID</v>
          </cell>
          <cell r="B133">
            <v>4331</v>
          </cell>
        </row>
        <row r="134">
          <cell r="A134" t="str">
            <v>Clark County, ID</v>
          </cell>
          <cell r="B134">
            <v>869</v>
          </cell>
        </row>
        <row r="135">
          <cell r="A135" t="str">
            <v xml:space="preserve">Bear Lake County, ID </v>
          </cell>
          <cell r="B135">
            <v>5907</v>
          </cell>
        </row>
        <row r="136">
          <cell r="A136" t="str">
            <v>Granite County, MT</v>
          </cell>
          <cell r="B136">
            <v>3109</v>
          </cell>
        </row>
        <row r="137">
          <cell r="A137" t="str">
            <v>Butte County, ID</v>
          </cell>
          <cell r="B137">
            <v>2740</v>
          </cell>
        </row>
        <row r="138">
          <cell r="A138" t="str">
            <v>Camas County, ID</v>
          </cell>
          <cell r="B138">
            <v>1077</v>
          </cell>
        </row>
        <row r="139">
          <cell r="A139" t="str">
            <v>Caribou County, ID</v>
          </cell>
          <cell r="B139">
            <v>6787</v>
          </cell>
        </row>
        <row r="140">
          <cell r="A140" t="str">
            <v>Blaine County, ID</v>
          </cell>
          <cell r="B140">
            <v>21146</v>
          </cell>
        </row>
        <row r="141">
          <cell r="A141" t="str">
            <v>Fremont County, ID</v>
          </cell>
          <cell r="B141">
            <v>12957</v>
          </cell>
        </row>
        <row r="142">
          <cell r="A142" t="str">
            <v>Valley County, ID</v>
          </cell>
          <cell r="B142">
            <v>9545</v>
          </cell>
        </row>
        <row r="143">
          <cell r="A143" t="str">
            <v>Butte-Silver Bow County, MT</v>
          </cell>
          <cell r="B143">
            <v>34403</v>
          </cell>
        </row>
        <row r="144">
          <cell r="A144" t="str">
            <v>Teton County, ID</v>
          </cell>
          <cell r="B144">
            <v>10052</v>
          </cell>
        </row>
        <row r="145">
          <cell r="A145" t="str">
            <v>Powell County, MT</v>
          </cell>
          <cell r="B145">
            <v>7096</v>
          </cell>
        </row>
        <row r="146">
          <cell r="A146" t="str">
            <v>Total</v>
          </cell>
          <cell r="B146">
            <v>12728178</v>
          </cell>
        </row>
      </sheetData>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D6" sqref="D6"/>
    </sheetView>
  </sheetViews>
  <sheetFormatPr defaultRowHeight="12.75"/>
  <cols>
    <col min="1" max="1" width="9.140625" style="77"/>
    <col min="2" max="2" width="37.85546875" style="77" customWidth="1"/>
    <col min="3" max="3" width="53.42578125" style="77" customWidth="1"/>
    <col min="4" max="4" width="34.140625" style="77" customWidth="1"/>
    <col min="5" max="5" width="18.28515625" style="77" customWidth="1"/>
    <col min="6" max="256" width="9.140625" style="77"/>
    <col min="257" max="257" width="26.7109375" style="77" customWidth="1"/>
    <col min="258" max="258" width="73.7109375" style="77" customWidth="1"/>
    <col min="259" max="259" width="58.42578125" style="77" customWidth="1"/>
    <col min="260" max="260" width="28.85546875" style="77" customWidth="1"/>
    <col min="261" max="512" width="9.140625" style="77"/>
    <col min="513" max="513" width="26.7109375" style="77" customWidth="1"/>
    <col min="514" max="514" width="73.7109375" style="77" customWidth="1"/>
    <col min="515" max="515" width="58.42578125" style="77" customWidth="1"/>
    <col min="516" max="516" width="28.85546875" style="77" customWidth="1"/>
    <col min="517" max="768" width="9.140625" style="77"/>
    <col min="769" max="769" width="26.7109375" style="77" customWidth="1"/>
    <col min="770" max="770" width="73.7109375" style="77" customWidth="1"/>
    <col min="771" max="771" width="58.42578125" style="77" customWidth="1"/>
    <col min="772" max="772" width="28.85546875" style="77" customWidth="1"/>
    <col min="773" max="1024" width="9.140625" style="77"/>
    <col min="1025" max="1025" width="26.7109375" style="77" customWidth="1"/>
    <col min="1026" max="1026" width="73.7109375" style="77" customWidth="1"/>
    <col min="1027" max="1027" width="58.42578125" style="77" customWidth="1"/>
    <col min="1028" max="1028" width="28.85546875" style="77" customWidth="1"/>
    <col min="1029" max="1280" width="9.140625" style="77"/>
    <col min="1281" max="1281" width="26.7109375" style="77" customWidth="1"/>
    <col min="1282" max="1282" width="73.7109375" style="77" customWidth="1"/>
    <col min="1283" max="1283" width="58.42578125" style="77" customWidth="1"/>
    <col min="1284" max="1284" width="28.85546875" style="77" customWidth="1"/>
    <col min="1285" max="1536" width="9.140625" style="77"/>
    <col min="1537" max="1537" width="26.7109375" style="77" customWidth="1"/>
    <col min="1538" max="1538" width="73.7109375" style="77" customWidth="1"/>
    <col min="1539" max="1539" width="58.42578125" style="77" customWidth="1"/>
    <col min="1540" max="1540" width="28.85546875" style="77" customWidth="1"/>
    <col min="1541" max="1792" width="9.140625" style="77"/>
    <col min="1793" max="1793" width="26.7109375" style="77" customWidth="1"/>
    <col min="1794" max="1794" width="73.7109375" style="77" customWidth="1"/>
    <col min="1795" max="1795" width="58.42578125" style="77" customWidth="1"/>
    <col min="1796" max="1796" width="28.85546875" style="77" customWidth="1"/>
    <col min="1797" max="2048" width="9.140625" style="77"/>
    <col min="2049" max="2049" width="26.7109375" style="77" customWidth="1"/>
    <col min="2050" max="2050" width="73.7109375" style="77" customWidth="1"/>
    <col min="2051" max="2051" width="58.42578125" style="77" customWidth="1"/>
    <col min="2052" max="2052" width="28.85546875" style="77" customWidth="1"/>
    <col min="2053" max="2304" width="9.140625" style="77"/>
    <col min="2305" max="2305" width="26.7109375" style="77" customWidth="1"/>
    <col min="2306" max="2306" width="73.7109375" style="77" customWidth="1"/>
    <col min="2307" max="2307" width="58.42578125" style="77" customWidth="1"/>
    <col min="2308" max="2308" width="28.85546875" style="77" customWidth="1"/>
    <col min="2309" max="2560" width="9.140625" style="77"/>
    <col min="2561" max="2561" width="26.7109375" style="77" customWidth="1"/>
    <col min="2562" max="2562" width="73.7109375" style="77" customWidth="1"/>
    <col min="2563" max="2563" width="58.42578125" style="77" customWidth="1"/>
    <col min="2564" max="2564" width="28.85546875" style="77" customWidth="1"/>
    <col min="2565" max="2816" width="9.140625" style="77"/>
    <col min="2817" max="2817" width="26.7109375" style="77" customWidth="1"/>
    <col min="2818" max="2818" width="73.7109375" style="77" customWidth="1"/>
    <col min="2819" max="2819" width="58.42578125" style="77" customWidth="1"/>
    <col min="2820" max="2820" width="28.85546875" style="77" customWidth="1"/>
    <col min="2821" max="3072" width="9.140625" style="77"/>
    <col min="3073" max="3073" width="26.7109375" style="77" customWidth="1"/>
    <col min="3074" max="3074" width="73.7109375" style="77" customWidth="1"/>
    <col min="3075" max="3075" width="58.42578125" style="77" customWidth="1"/>
    <col min="3076" max="3076" width="28.85546875" style="77" customWidth="1"/>
    <col min="3077" max="3328" width="9.140625" style="77"/>
    <col min="3329" max="3329" width="26.7109375" style="77" customWidth="1"/>
    <col min="3330" max="3330" width="73.7109375" style="77" customWidth="1"/>
    <col min="3331" max="3331" width="58.42578125" style="77" customWidth="1"/>
    <col min="3332" max="3332" width="28.85546875" style="77" customWidth="1"/>
    <col min="3333" max="3584" width="9.140625" style="77"/>
    <col min="3585" max="3585" width="26.7109375" style="77" customWidth="1"/>
    <col min="3586" max="3586" width="73.7109375" style="77" customWidth="1"/>
    <col min="3587" max="3587" width="58.42578125" style="77" customWidth="1"/>
    <col min="3588" max="3588" width="28.85546875" style="77" customWidth="1"/>
    <col min="3589" max="3840" width="9.140625" style="77"/>
    <col min="3841" max="3841" width="26.7109375" style="77" customWidth="1"/>
    <col min="3842" max="3842" width="73.7109375" style="77" customWidth="1"/>
    <col min="3843" max="3843" width="58.42578125" style="77" customWidth="1"/>
    <col min="3844" max="3844" width="28.85546875" style="77" customWidth="1"/>
    <col min="3845" max="4096" width="9.140625" style="77"/>
    <col min="4097" max="4097" width="26.7109375" style="77" customWidth="1"/>
    <col min="4098" max="4098" width="73.7109375" style="77" customWidth="1"/>
    <col min="4099" max="4099" width="58.42578125" style="77" customWidth="1"/>
    <col min="4100" max="4100" width="28.85546875" style="77" customWidth="1"/>
    <col min="4101" max="4352" width="9.140625" style="77"/>
    <col min="4353" max="4353" width="26.7109375" style="77" customWidth="1"/>
    <col min="4354" max="4354" width="73.7109375" style="77" customWidth="1"/>
    <col min="4355" max="4355" width="58.42578125" style="77" customWidth="1"/>
    <col min="4356" max="4356" width="28.85546875" style="77" customWidth="1"/>
    <col min="4357" max="4608" width="9.140625" style="77"/>
    <col min="4609" max="4609" width="26.7109375" style="77" customWidth="1"/>
    <col min="4610" max="4610" width="73.7109375" style="77" customWidth="1"/>
    <col min="4611" max="4611" width="58.42578125" style="77" customWidth="1"/>
    <col min="4612" max="4612" width="28.85546875" style="77" customWidth="1"/>
    <col min="4613" max="4864" width="9.140625" style="77"/>
    <col min="4865" max="4865" width="26.7109375" style="77" customWidth="1"/>
    <col min="4866" max="4866" width="73.7109375" style="77" customWidth="1"/>
    <col min="4867" max="4867" width="58.42578125" style="77" customWidth="1"/>
    <col min="4868" max="4868" width="28.85546875" style="77" customWidth="1"/>
    <col min="4869" max="5120" width="9.140625" style="77"/>
    <col min="5121" max="5121" width="26.7109375" style="77" customWidth="1"/>
    <col min="5122" max="5122" width="73.7109375" style="77" customWidth="1"/>
    <col min="5123" max="5123" width="58.42578125" style="77" customWidth="1"/>
    <col min="5124" max="5124" width="28.85546875" style="77" customWidth="1"/>
    <col min="5125" max="5376" width="9.140625" style="77"/>
    <col min="5377" max="5377" width="26.7109375" style="77" customWidth="1"/>
    <col min="5378" max="5378" width="73.7109375" style="77" customWidth="1"/>
    <col min="5379" max="5379" width="58.42578125" style="77" customWidth="1"/>
    <col min="5380" max="5380" width="28.85546875" style="77" customWidth="1"/>
    <col min="5381" max="5632" width="9.140625" style="77"/>
    <col min="5633" max="5633" width="26.7109375" style="77" customWidth="1"/>
    <col min="5634" max="5634" width="73.7109375" style="77" customWidth="1"/>
    <col min="5635" max="5635" width="58.42578125" style="77" customWidth="1"/>
    <col min="5636" max="5636" width="28.85546875" style="77" customWidth="1"/>
    <col min="5637" max="5888" width="9.140625" style="77"/>
    <col min="5889" max="5889" width="26.7109375" style="77" customWidth="1"/>
    <col min="5890" max="5890" width="73.7109375" style="77" customWidth="1"/>
    <col min="5891" max="5891" width="58.42578125" style="77" customWidth="1"/>
    <col min="5892" max="5892" width="28.85546875" style="77" customWidth="1"/>
    <col min="5893" max="6144" width="9.140625" style="77"/>
    <col min="6145" max="6145" width="26.7109375" style="77" customWidth="1"/>
    <col min="6146" max="6146" width="73.7109375" style="77" customWidth="1"/>
    <col min="6147" max="6147" width="58.42578125" style="77" customWidth="1"/>
    <col min="6148" max="6148" width="28.85546875" style="77" customWidth="1"/>
    <col min="6149" max="6400" width="9.140625" style="77"/>
    <col min="6401" max="6401" width="26.7109375" style="77" customWidth="1"/>
    <col min="6402" max="6402" width="73.7109375" style="77" customWidth="1"/>
    <col min="6403" max="6403" width="58.42578125" style="77" customWidth="1"/>
    <col min="6404" max="6404" width="28.85546875" style="77" customWidth="1"/>
    <col min="6405" max="6656" width="9.140625" style="77"/>
    <col min="6657" max="6657" width="26.7109375" style="77" customWidth="1"/>
    <col min="6658" max="6658" width="73.7109375" style="77" customWidth="1"/>
    <col min="6659" max="6659" width="58.42578125" style="77" customWidth="1"/>
    <col min="6660" max="6660" width="28.85546875" style="77" customWidth="1"/>
    <col min="6661" max="6912" width="9.140625" style="77"/>
    <col min="6913" max="6913" width="26.7109375" style="77" customWidth="1"/>
    <col min="6914" max="6914" width="73.7109375" style="77" customWidth="1"/>
    <col min="6915" max="6915" width="58.42578125" style="77" customWidth="1"/>
    <col min="6916" max="6916" width="28.85546875" style="77" customWidth="1"/>
    <col min="6917" max="7168" width="9.140625" style="77"/>
    <col min="7169" max="7169" width="26.7109375" style="77" customWidth="1"/>
    <col min="7170" max="7170" width="73.7109375" style="77" customWidth="1"/>
    <col min="7171" max="7171" width="58.42578125" style="77" customWidth="1"/>
    <col min="7172" max="7172" width="28.85546875" style="77" customWidth="1"/>
    <col min="7173" max="7424" width="9.140625" style="77"/>
    <col min="7425" max="7425" width="26.7109375" style="77" customWidth="1"/>
    <col min="7426" max="7426" width="73.7109375" style="77" customWidth="1"/>
    <col min="7427" max="7427" width="58.42578125" style="77" customWidth="1"/>
    <col min="7428" max="7428" width="28.85546875" style="77" customWidth="1"/>
    <col min="7429" max="7680" width="9.140625" style="77"/>
    <col min="7681" max="7681" width="26.7109375" style="77" customWidth="1"/>
    <col min="7682" max="7682" width="73.7109375" style="77" customWidth="1"/>
    <col min="7683" max="7683" width="58.42578125" style="77" customWidth="1"/>
    <col min="7684" max="7684" width="28.85546875" style="77" customWidth="1"/>
    <col min="7685" max="7936" width="9.140625" style="77"/>
    <col min="7937" max="7937" width="26.7109375" style="77" customWidth="1"/>
    <col min="7938" max="7938" width="73.7109375" style="77" customWidth="1"/>
    <col min="7939" max="7939" width="58.42578125" style="77" customWidth="1"/>
    <col min="7940" max="7940" width="28.85546875" style="77" customWidth="1"/>
    <col min="7941" max="8192" width="9.140625" style="77"/>
    <col min="8193" max="8193" width="26.7109375" style="77" customWidth="1"/>
    <col min="8194" max="8194" width="73.7109375" style="77" customWidth="1"/>
    <col min="8195" max="8195" width="58.42578125" style="77" customWidth="1"/>
    <col min="8196" max="8196" width="28.85546875" style="77" customWidth="1"/>
    <col min="8197" max="8448" width="9.140625" style="77"/>
    <col min="8449" max="8449" width="26.7109375" style="77" customWidth="1"/>
    <col min="8450" max="8450" width="73.7109375" style="77" customWidth="1"/>
    <col min="8451" max="8451" width="58.42578125" style="77" customWidth="1"/>
    <col min="8452" max="8452" width="28.85546875" style="77" customWidth="1"/>
    <col min="8453" max="8704" width="9.140625" style="77"/>
    <col min="8705" max="8705" width="26.7109375" style="77" customWidth="1"/>
    <col min="8706" max="8706" width="73.7109375" style="77" customWidth="1"/>
    <col min="8707" max="8707" width="58.42578125" style="77" customWidth="1"/>
    <col min="8708" max="8708" width="28.85546875" style="77" customWidth="1"/>
    <col min="8709" max="8960" width="9.140625" style="77"/>
    <col min="8961" max="8961" width="26.7109375" style="77" customWidth="1"/>
    <col min="8962" max="8962" width="73.7109375" style="77" customWidth="1"/>
    <col min="8963" max="8963" width="58.42578125" style="77" customWidth="1"/>
    <col min="8964" max="8964" width="28.85546875" style="77" customWidth="1"/>
    <col min="8965" max="9216" width="9.140625" style="77"/>
    <col min="9217" max="9217" width="26.7109375" style="77" customWidth="1"/>
    <col min="9218" max="9218" width="73.7109375" style="77" customWidth="1"/>
    <col min="9219" max="9219" width="58.42578125" style="77" customWidth="1"/>
    <col min="9220" max="9220" width="28.85546875" style="77" customWidth="1"/>
    <col min="9221" max="9472" width="9.140625" style="77"/>
    <col min="9473" max="9473" width="26.7109375" style="77" customWidth="1"/>
    <col min="9474" max="9474" width="73.7109375" style="77" customWidth="1"/>
    <col min="9475" max="9475" width="58.42578125" style="77" customWidth="1"/>
    <col min="9476" max="9476" width="28.85546875" style="77" customWidth="1"/>
    <col min="9477" max="9728" width="9.140625" style="77"/>
    <col min="9729" max="9729" width="26.7109375" style="77" customWidth="1"/>
    <col min="9730" max="9730" width="73.7109375" style="77" customWidth="1"/>
    <col min="9731" max="9731" width="58.42578125" style="77" customWidth="1"/>
    <col min="9732" max="9732" width="28.85546875" style="77" customWidth="1"/>
    <col min="9733" max="9984" width="9.140625" style="77"/>
    <col min="9985" max="9985" width="26.7109375" style="77" customWidth="1"/>
    <col min="9986" max="9986" width="73.7109375" style="77" customWidth="1"/>
    <col min="9987" max="9987" width="58.42578125" style="77" customWidth="1"/>
    <col min="9988" max="9988" width="28.85546875" style="77" customWidth="1"/>
    <col min="9989" max="10240" width="9.140625" style="77"/>
    <col min="10241" max="10241" width="26.7109375" style="77" customWidth="1"/>
    <col min="10242" max="10242" width="73.7109375" style="77" customWidth="1"/>
    <col min="10243" max="10243" width="58.42578125" style="77" customWidth="1"/>
    <col min="10244" max="10244" width="28.85546875" style="77" customWidth="1"/>
    <col min="10245" max="10496" width="9.140625" style="77"/>
    <col min="10497" max="10497" width="26.7109375" style="77" customWidth="1"/>
    <col min="10498" max="10498" width="73.7109375" style="77" customWidth="1"/>
    <col min="10499" max="10499" width="58.42578125" style="77" customWidth="1"/>
    <col min="10500" max="10500" width="28.85546875" style="77" customWidth="1"/>
    <col min="10501" max="10752" width="9.140625" style="77"/>
    <col min="10753" max="10753" width="26.7109375" style="77" customWidth="1"/>
    <col min="10754" max="10754" width="73.7109375" style="77" customWidth="1"/>
    <col min="10755" max="10755" width="58.42578125" style="77" customWidth="1"/>
    <col min="10756" max="10756" width="28.85546875" style="77" customWidth="1"/>
    <col min="10757" max="11008" width="9.140625" style="77"/>
    <col min="11009" max="11009" width="26.7109375" style="77" customWidth="1"/>
    <col min="11010" max="11010" width="73.7109375" style="77" customWidth="1"/>
    <col min="11011" max="11011" width="58.42578125" style="77" customWidth="1"/>
    <col min="11012" max="11012" width="28.85546875" style="77" customWidth="1"/>
    <col min="11013" max="11264" width="9.140625" style="77"/>
    <col min="11265" max="11265" width="26.7109375" style="77" customWidth="1"/>
    <col min="11266" max="11266" width="73.7109375" style="77" customWidth="1"/>
    <col min="11267" max="11267" width="58.42578125" style="77" customWidth="1"/>
    <col min="11268" max="11268" width="28.85546875" style="77" customWidth="1"/>
    <col min="11269" max="11520" width="9.140625" style="77"/>
    <col min="11521" max="11521" width="26.7109375" style="77" customWidth="1"/>
    <col min="11522" max="11522" width="73.7109375" style="77" customWidth="1"/>
    <col min="11523" max="11523" width="58.42578125" style="77" customWidth="1"/>
    <col min="11524" max="11524" width="28.85546875" style="77" customWidth="1"/>
    <col min="11525" max="11776" width="9.140625" style="77"/>
    <col min="11777" max="11777" width="26.7109375" style="77" customWidth="1"/>
    <col min="11778" max="11778" width="73.7109375" style="77" customWidth="1"/>
    <col min="11779" max="11779" width="58.42578125" style="77" customWidth="1"/>
    <col min="11780" max="11780" width="28.85546875" style="77" customWidth="1"/>
    <col min="11781" max="12032" width="9.140625" style="77"/>
    <col min="12033" max="12033" width="26.7109375" style="77" customWidth="1"/>
    <col min="12034" max="12034" width="73.7109375" style="77" customWidth="1"/>
    <col min="12035" max="12035" width="58.42578125" style="77" customWidth="1"/>
    <col min="12036" max="12036" width="28.85546875" style="77" customWidth="1"/>
    <col min="12037" max="12288" width="9.140625" style="77"/>
    <col min="12289" max="12289" width="26.7109375" style="77" customWidth="1"/>
    <col min="12290" max="12290" width="73.7109375" style="77" customWidth="1"/>
    <col min="12291" max="12291" width="58.42578125" style="77" customWidth="1"/>
    <col min="12292" max="12292" width="28.85546875" style="77" customWidth="1"/>
    <col min="12293" max="12544" width="9.140625" style="77"/>
    <col min="12545" max="12545" width="26.7109375" style="77" customWidth="1"/>
    <col min="12546" max="12546" width="73.7109375" style="77" customWidth="1"/>
    <col min="12547" max="12547" width="58.42578125" style="77" customWidth="1"/>
    <col min="12548" max="12548" width="28.85546875" style="77" customWidth="1"/>
    <col min="12549" max="12800" width="9.140625" style="77"/>
    <col min="12801" max="12801" width="26.7109375" style="77" customWidth="1"/>
    <col min="12802" max="12802" width="73.7109375" style="77" customWidth="1"/>
    <col min="12803" max="12803" width="58.42578125" style="77" customWidth="1"/>
    <col min="12804" max="12804" width="28.85546875" style="77" customWidth="1"/>
    <col min="12805" max="13056" width="9.140625" style="77"/>
    <col min="13057" max="13057" width="26.7109375" style="77" customWidth="1"/>
    <col min="13058" max="13058" width="73.7109375" style="77" customWidth="1"/>
    <col min="13059" max="13059" width="58.42578125" style="77" customWidth="1"/>
    <col min="13060" max="13060" width="28.85546875" style="77" customWidth="1"/>
    <col min="13061" max="13312" width="9.140625" style="77"/>
    <col min="13313" max="13313" width="26.7109375" style="77" customWidth="1"/>
    <col min="13314" max="13314" width="73.7109375" style="77" customWidth="1"/>
    <col min="13315" max="13315" width="58.42578125" style="77" customWidth="1"/>
    <col min="13316" max="13316" width="28.85546875" style="77" customWidth="1"/>
    <col min="13317" max="13568" width="9.140625" style="77"/>
    <col min="13569" max="13569" width="26.7109375" style="77" customWidth="1"/>
    <col min="13570" max="13570" width="73.7109375" style="77" customWidth="1"/>
    <col min="13571" max="13571" width="58.42578125" style="77" customWidth="1"/>
    <col min="13572" max="13572" width="28.85546875" style="77" customWidth="1"/>
    <col min="13573" max="13824" width="9.140625" style="77"/>
    <col min="13825" max="13825" width="26.7109375" style="77" customWidth="1"/>
    <col min="13826" max="13826" width="73.7109375" style="77" customWidth="1"/>
    <col min="13827" max="13827" width="58.42578125" style="77" customWidth="1"/>
    <col min="13828" max="13828" width="28.85546875" style="77" customWidth="1"/>
    <col min="13829" max="14080" width="9.140625" style="77"/>
    <col min="14081" max="14081" width="26.7109375" style="77" customWidth="1"/>
    <col min="14082" max="14082" width="73.7109375" style="77" customWidth="1"/>
    <col min="14083" max="14083" width="58.42578125" style="77" customWidth="1"/>
    <col min="14084" max="14084" width="28.85546875" style="77" customWidth="1"/>
    <col min="14085" max="14336" width="9.140625" style="77"/>
    <col min="14337" max="14337" width="26.7109375" style="77" customWidth="1"/>
    <col min="14338" max="14338" width="73.7109375" style="77" customWidth="1"/>
    <col min="14339" max="14339" width="58.42578125" style="77" customWidth="1"/>
    <col min="14340" max="14340" width="28.85546875" style="77" customWidth="1"/>
    <col min="14341" max="14592" width="9.140625" style="77"/>
    <col min="14593" max="14593" width="26.7109375" style="77" customWidth="1"/>
    <col min="14594" max="14594" width="73.7109375" style="77" customWidth="1"/>
    <col min="14595" max="14595" width="58.42578125" style="77" customWidth="1"/>
    <col min="14596" max="14596" width="28.85546875" style="77" customWidth="1"/>
    <col min="14597" max="14848" width="9.140625" style="77"/>
    <col min="14849" max="14849" width="26.7109375" style="77" customWidth="1"/>
    <col min="14850" max="14850" width="73.7109375" style="77" customWidth="1"/>
    <col min="14851" max="14851" width="58.42578125" style="77" customWidth="1"/>
    <col min="14852" max="14852" width="28.85546875" style="77" customWidth="1"/>
    <col min="14853" max="15104" width="9.140625" style="77"/>
    <col min="15105" max="15105" width="26.7109375" style="77" customWidth="1"/>
    <col min="15106" max="15106" width="73.7109375" style="77" customWidth="1"/>
    <col min="15107" max="15107" width="58.42578125" style="77" customWidth="1"/>
    <col min="15108" max="15108" width="28.85546875" style="77" customWidth="1"/>
    <col min="15109" max="15360" width="9.140625" style="77"/>
    <col min="15361" max="15361" width="26.7109375" style="77" customWidth="1"/>
    <col min="15362" max="15362" width="73.7109375" style="77" customWidth="1"/>
    <col min="15363" max="15363" width="58.42578125" style="77" customWidth="1"/>
    <col min="15364" max="15364" width="28.85546875" style="77" customWidth="1"/>
    <col min="15365" max="15616" width="9.140625" style="77"/>
    <col min="15617" max="15617" width="26.7109375" style="77" customWidth="1"/>
    <col min="15618" max="15618" width="73.7109375" style="77" customWidth="1"/>
    <col min="15619" max="15619" width="58.42578125" style="77" customWidth="1"/>
    <col min="15620" max="15620" width="28.85546875" style="77" customWidth="1"/>
    <col min="15621" max="15872" width="9.140625" style="77"/>
    <col min="15873" max="15873" width="26.7109375" style="77" customWidth="1"/>
    <col min="15874" max="15874" width="73.7109375" style="77" customWidth="1"/>
    <col min="15875" max="15875" width="58.42578125" style="77" customWidth="1"/>
    <col min="15876" max="15876" width="28.85546875" style="77" customWidth="1"/>
    <col min="15877" max="16128" width="9.140625" style="77"/>
    <col min="16129" max="16129" width="26.7109375" style="77" customWidth="1"/>
    <col min="16130" max="16130" width="73.7109375" style="77" customWidth="1"/>
    <col min="16131" max="16131" width="58.42578125" style="77" customWidth="1"/>
    <col min="16132" max="16132" width="28.85546875" style="77" customWidth="1"/>
    <col min="16133" max="16384" width="9.140625" style="77"/>
  </cols>
  <sheetData>
    <row r="1" spans="2:5" ht="13.5" thickBot="1"/>
    <row r="2" spans="2:5" s="81" customFormat="1" ht="19.5" thickBot="1">
      <c r="B2" s="78" t="s">
        <v>151</v>
      </c>
      <c r="C2" s="79" t="s">
        <v>523</v>
      </c>
      <c r="D2" s="79"/>
      <c r="E2" s="80"/>
    </row>
    <row r="3" spans="2:5" s="81" customFormat="1" ht="15">
      <c r="B3" s="82" t="s">
        <v>152</v>
      </c>
      <c r="C3" s="82" t="s">
        <v>153</v>
      </c>
      <c r="D3" s="82" t="s">
        <v>154</v>
      </c>
      <c r="E3" s="82" t="s">
        <v>155</v>
      </c>
    </row>
    <row r="4" spans="2:5">
      <c r="B4" s="83" t="s">
        <v>156</v>
      </c>
      <c r="C4" s="84" t="s">
        <v>524</v>
      </c>
      <c r="D4" s="84"/>
      <c r="E4" s="84"/>
    </row>
    <row r="5" spans="2:5" ht="63.75">
      <c r="B5" s="83" t="s">
        <v>157</v>
      </c>
      <c r="C5" s="85" t="s">
        <v>721</v>
      </c>
      <c r="D5" s="191" t="s">
        <v>727</v>
      </c>
      <c r="E5" s="86" t="s">
        <v>525</v>
      </c>
    </row>
    <row r="6" spans="2:5" ht="25.5">
      <c r="B6" s="83" t="s">
        <v>158</v>
      </c>
      <c r="C6" s="86" t="s">
        <v>722</v>
      </c>
      <c r="D6" s="85" t="s">
        <v>720</v>
      </c>
      <c r="E6" s="94" t="s">
        <v>526</v>
      </c>
    </row>
    <row r="7" spans="2:5">
      <c r="B7" s="83" t="s">
        <v>159</v>
      </c>
      <c r="C7" s="85" t="s">
        <v>527</v>
      </c>
      <c r="D7" s="90"/>
      <c r="E7" s="85"/>
    </row>
    <row r="8" spans="2:5" s="81" customFormat="1" ht="39.75" customHeight="1">
      <c r="B8" s="87" t="s">
        <v>160</v>
      </c>
      <c r="C8" s="88" t="s">
        <v>161</v>
      </c>
      <c r="D8" s="89"/>
      <c r="E8" s="89"/>
    </row>
    <row r="9" spans="2:5">
      <c r="B9" s="83" t="s">
        <v>162</v>
      </c>
      <c r="C9" s="85" t="s">
        <v>528</v>
      </c>
      <c r="D9" s="85" t="s">
        <v>529</v>
      </c>
      <c r="E9" s="85" t="s">
        <v>526</v>
      </c>
    </row>
    <row r="10" spans="2:5" ht="25.5">
      <c r="B10" s="83" t="s">
        <v>163</v>
      </c>
      <c r="C10" s="85" t="s">
        <v>530</v>
      </c>
      <c r="D10" s="85"/>
      <c r="E10" s="85" t="s">
        <v>531</v>
      </c>
    </row>
    <row r="11" spans="2:5">
      <c r="B11" s="83" t="s">
        <v>149</v>
      </c>
      <c r="C11" s="85" t="s">
        <v>532</v>
      </c>
      <c r="D11" s="85"/>
      <c r="E11" s="85" t="s">
        <v>526</v>
      </c>
    </row>
    <row r="12" spans="2:5" ht="25.5">
      <c r="B12" s="83" t="s">
        <v>164</v>
      </c>
      <c r="C12" s="85" t="s">
        <v>218</v>
      </c>
      <c r="D12" s="85"/>
      <c r="E12" s="85" t="s">
        <v>533</v>
      </c>
    </row>
    <row r="13" spans="2:5" ht="25.5">
      <c r="B13" s="83" t="s">
        <v>165</v>
      </c>
      <c r="C13" s="85" t="s">
        <v>534</v>
      </c>
      <c r="D13" s="85" t="s">
        <v>535</v>
      </c>
      <c r="E13" s="85" t="s">
        <v>536</v>
      </c>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1:E12"/>
  <sheetViews>
    <sheetView workbookViewId="0">
      <selection activeCell="E2" sqref="E2"/>
    </sheetView>
  </sheetViews>
  <sheetFormatPr defaultRowHeight="12.75"/>
  <cols>
    <col min="1" max="1" width="39.140625" bestFit="1" customWidth="1"/>
    <col min="2" max="2" width="11.85546875" bestFit="1" customWidth="1"/>
    <col min="3" max="3" width="8.140625" bestFit="1" customWidth="1"/>
    <col min="4" max="4" width="8.42578125" bestFit="1" customWidth="1"/>
    <col min="5" max="5" width="8.140625" bestFit="1" customWidth="1"/>
  </cols>
  <sheetData>
    <row r="1" spans="1:5" ht="39" thickBot="1">
      <c r="A1" s="126" t="s">
        <v>495</v>
      </c>
      <c r="B1" s="127"/>
      <c r="C1" s="127" t="s">
        <v>507</v>
      </c>
      <c r="D1" s="127" t="s">
        <v>496</v>
      </c>
      <c r="E1" s="127" t="s">
        <v>497</v>
      </c>
    </row>
    <row r="2" spans="1:5" ht="13.5" thickBot="1">
      <c r="A2" s="128" t="s">
        <v>498</v>
      </c>
      <c r="B2" s="129" t="s">
        <v>499</v>
      </c>
      <c r="C2" s="130">
        <v>2800</v>
      </c>
      <c r="D2" s="131">
        <v>0.53</v>
      </c>
      <c r="E2" s="132">
        <f t="shared" ref="E2:E8" si="0">C2*D2</f>
        <v>1484</v>
      </c>
    </row>
    <row r="3" spans="1:5">
      <c r="A3" s="133" t="s">
        <v>500</v>
      </c>
      <c r="B3" s="134" t="s">
        <v>178</v>
      </c>
      <c r="C3" s="135">
        <v>2800</v>
      </c>
      <c r="D3" s="136">
        <v>0.5</v>
      </c>
      <c r="E3" s="135">
        <f t="shared" si="0"/>
        <v>1400</v>
      </c>
    </row>
    <row r="4" spans="1:5" ht="13.5" thickBot="1">
      <c r="A4" s="137" t="s">
        <v>500</v>
      </c>
      <c r="B4" s="138" t="s">
        <v>501</v>
      </c>
      <c r="C4" s="139">
        <v>2800</v>
      </c>
      <c r="D4" s="140">
        <v>0.49</v>
      </c>
      <c r="E4" s="139">
        <f t="shared" si="0"/>
        <v>1372</v>
      </c>
    </row>
    <row r="5" spans="1:5" ht="13.5" thickBot="1">
      <c r="A5" s="141" t="s">
        <v>502</v>
      </c>
      <c r="B5" s="142" t="s">
        <v>181</v>
      </c>
      <c r="C5" s="143">
        <v>2800</v>
      </c>
      <c r="D5" s="144">
        <v>0.43</v>
      </c>
      <c r="E5" s="143">
        <f t="shared" si="0"/>
        <v>1204</v>
      </c>
    </row>
    <row r="6" spans="1:5" ht="13.5" thickBot="1">
      <c r="A6" s="145" t="s">
        <v>503</v>
      </c>
      <c r="B6" s="146" t="s">
        <v>179</v>
      </c>
      <c r="C6" s="147">
        <v>2800</v>
      </c>
      <c r="D6" s="148">
        <v>0.4</v>
      </c>
      <c r="E6" s="147">
        <f t="shared" si="0"/>
        <v>1120</v>
      </c>
    </row>
    <row r="7" spans="1:5">
      <c r="A7" s="149" t="s">
        <v>504</v>
      </c>
      <c r="B7" s="150" t="s">
        <v>180</v>
      </c>
      <c r="C7" s="151">
        <v>2800</v>
      </c>
      <c r="D7" s="152">
        <v>0.38</v>
      </c>
      <c r="E7" s="151">
        <f t="shared" si="0"/>
        <v>1064</v>
      </c>
    </row>
    <row r="8" spans="1:5" ht="13.5" thickBot="1">
      <c r="A8" s="115" t="s">
        <v>504</v>
      </c>
      <c r="B8" s="153" t="s">
        <v>182</v>
      </c>
      <c r="C8" s="154">
        <v>2800</v>
      </c>
      <c r="D8" s="155">
        <v>0.37</v>
      </c>
      <c r="E8" s="154">
        <f t="shared" si="0"/>
        <v>1036</v>
      </c>
    </row>
    <row r="10" spans="1:5">
      <c r="A10" s="110" t="s">
        <v>505</v>
      </c>
    </row>
    <row r="11" spans="1:5">
      <c r="A11" s="156" t="s">
        <v>506</v>
      </c>
    </row>
    <row r="12" spans="1:5">
      <c r="A12" s="156" t="s">
        <v>724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0"/>
  <dimension ref="A1:BD10"/>
  <sheetViews>
    <sheetView topLeftCell="Q1" workbookViewId="0">
      <selection activeCell="AE10" sqref="AE3:AE10"/>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70" t="s">
        <v>515</v>
      </c>
      <c r="B1" s="70" t="s">
        <v>516</v>
      </c>
      <c r="C1" s="70" t="s">
        <v>517</v>
      </c>
      <c r="D1" s="70" t="s">
        <v>518</v>
      </c>
      <c r="E1" s="70" t="s">
        <v>519</v>
      </c>
      <c r="F1" s="70" t="s">
        <v>520</v>
      </c>
      <c r="G1" s="70" t="s">
        <v>521</v>
      </c>
      <c r="H1" s="70" t="s">
        <v>176</v>
      </c>
      <c r="I1" s="70" t="s">
        <v>67</v>
      </c>
      <c r="J1" s="70" t="s">
        <v>68</v>
      </c>
      <c r="K1" s="64">
        <v>2016</v>
      </c>
      <c r="L1" s="65">
        <v>2017</v>
      </c>
      <c r="M1" s="65">
        <v>2018</v>
      </c>
      <c r="N1" s="65">
        <v>2019</v>
      </c>
      <c r="O1" s="65">
        <v>2020</v>
      </c>
      <c r="P1" s="65">
        <v>2021</v>
      </c>
      <c r="Q1" s="65">
        <v>2022</v>
      </c>
      <c r="R1" s="65">
        <v>2023</v>
      </c>
      <c r="S1" s="65">
        <v>2024</v>
      </c>
      <c r="T1" s="65">
        <v>2025</v>
      </c>
      <c r="U1" s="65">
        <v>2026</v>
      </c>
      <c r="V1" s="65">
        <v>2027</v>
      </c>
      <c r="W1" s="65">
        <v>2028</v>
      </c>
      <c r="X1" s="65">
        <v>2029</v>
      </c>
      <c r="Y1" s="65">
        <v>2030</v>
      </c>
      <c r="Z1" s="65">
        <v>2031</v>
      </c>
      <c r="AA1" s="65">
        <v>2032</v>
      </c>
      <c r="AB1" s="65">
        <v>2033</v>
      </c>
      <c r="AC1" s="65">
        <v>2034</v>
      </c>
      <c r="AD1" s="65">
        <v>2035</v>
      </c>
      <c r="AE1" s="66" t="s">
        <v>61</v>
      </c>
      <c r="AF1" s="45" t="s">
        <v>214</v>
      </c>
      <c r="AG1" s="46"/>
      <c r="AH1" s="46"/>
      <c r="AI1" s="46"/>
      <c r="AJ1" s="46"/>
      <c r="AK1" s="46"/>
      <c r="AL1" s="46"/>
      <c r="AM1" s="46"/>
      <c r="AN1" s="46"/>
      <c r="AO1" s="46"/>
      <c r="AP1" s="46"/>
      <c r="AQ1" s="40"/>
      <c r="AR1" s="44"/>
      <c r="AS1" s="45" t="s">
        <v>215</v>
      </c>
      <c r="AT1" s="46"/>
      <c r="AU1" s="46"/>
      <c r="AV1" s="46"/>
      <c r="AW1" s="46"/>
      <c r="AX1" s="46"/>
      <c r="AY1" s="46"/>
      <c r="AZ1" s="46"/>
      <c r="BA1" s="46"/>
      <c r="BB1" s="46"/>
      <c r="BC1" s="46"/>
      <c r="BD1" s="40"/>
    </row>
    <row r="2" spans="1:56" ht="15">
      <c r="A2" s="70"/>
      <c r="B2" s="70"/>
      <c r="C2" s="70"/>
      <c r="D2" s="70"/>
      <c r="E2" s="70"/>
      <c r="F2" s="70" t="s">
        <v>216</v>
      </c>
      <c r="G2" s="70" t="s">
        <v>46</v>
      </c>
      <c r="H2" s="70" t="s">
        <v>66</v>
      </c>
      <c r="I2" s="70">
        <v>1</v>
      </c>
      <c r="J2" s="70"/>
      <c r="K2" s="67" t="str">
        <f t="shared" ref="K2:AD2" si="0">CONCATENATE("aMW_",K$1)</f>
        <v>aMW_2016</v>
      </c>
      <c r="L2" s="68" t="str">
        <f t="shared" si="0"/>
        <v>aMW_2017</v>
      </c>
      <c r="M2" s="68" t="str">
        <f t="shared" si="0"/>
        <v>aMW_2018</v>
      </c>
      <c r="N2" s="68" t="str">
        <f t="shared" si="0"/>
        <v>aMW_2019</v>
      </c>
      <c r="O2" s="68" t="str">
        <f t="shared" si="0"/>
        <v>aMW_2020</v>
      </c>
      <c r="P2" s="68" t="str">
        <f t="shared" si="0"/>
        <v>aMW_2021</v>
      </c>
      <c r="Q2" s="68" t="str">
        <f t="shared" si="0"/>
        <v>aMW_2022</v>
      </c>
      <c r="R2" s="68" t="str">
        <f t="shared" si="0"/>
        <v>aMW_2023</v>
      </c>
      <c r="S2" s="68" t="str">
        <f t="shared" si="0"/>
        <v>aMW_2024</v>
      </c>
      <c r="T2" s="68" t="str">
        <f t="shared" si="0"/>
        <v>aMW_2025</v>
      </c>
      <c r="U2" s="68" t="str">
        <f t="shared" si="0"/>
        <v>aMW_2026</v>
      </c>
      <c r="V2" s="68" t="str">
        <f t="shared" si="0"/>
        <v>aMW_2027</v>
      </c>
      <c r="W2" s="68" t="str">
        <f t="shared" si="0"/>
        <v>aMW_2028</v>
      </c>
      <c r="X2" s="68" t="str">
        <f t="shared" si="0"/>
        <v>aMW_2029</v>
      </c>
      <c r="Y2" s="68" t="str">
        <f t="shared" si="0"/>
        <v>aMW_2030</v>
      </c>
      <c r="Z2" s="68" t="str">
        <f t="shared" si="0"/>
        <v>aMW_2031</v>
      </c>
      <c r="AA2" s="68" t="str">
        <f t="shared" si="0"/>
        <v>aMW_2032</v>
      </c>
      <c r="AB2" s="68" t="str">
        <f t="shared" si="0"/>
        <v>aMW_2033</v>
      </c>
      <c r="AC2" s="68" t="str">
        <f t="shared" si="0"/>
        <v>aMW_2034</v>
      </c>
      <c r="AD2" s="68" t="str">
        <f t="shared" si="0"/>
        <v>aMW_2035</v>
      </c>
      <c r="AE2" s="69" t="s">
        <v>61</v>
      </c>
      <c r="AF2" s="39" t="s">
        <v>33</v>
      </c>
      <c r="AG2" s="39" t="s">
        <v>34</v>
      </c>
      <c r="AH2" s="39" t="s">
        <v>35</v>
      </c>
      <c r="AI2" s="39" t="s">
        <v>36</v>
      </c>
      <c r="AJ2" s="39" t="s">
        <v>37</v>
      </c>
      <c r="AK2" s="39" t="s">
        <v>38</v>
      </c>
      <c r="AL2" s="39" t="s">
        <v>39</v>
      </c>
      <c r="AM2" s="39" t="s">
        <v>40</v>
      </c>
      <c r="AN2" s="39" t="s">
        <v>41</v>
      </c>
      <c r="AO2" s="39" t="s">
        <v>42</v>
      </c>
      <c r="AP2" s="39" t="s">
        <v>43</v>
      </c>
      <c r="AQ2" s="39" t="s">
        <v>44</v>
      </c>
      <c r="AR2" s="39"/>
      <c r="AS2" s="39" t="s">
        <v>33</v>
      </c>
      <c r="AT2" s="39" t="s">
        <v>34</v>
      </c>
      <c r="AU2" s="39" t="s">
        <v>35</v>
      </c>
      <c r="AV2" s="39" t="s">
        <v>36</v>
      </c>
      <c r="AW2" s="39" t="s">
        <v>37</v>
      </c>
      <c r="AX2" s="39" t="s">
        <v>38</v>
      </c>
      <c r="AY2" s="39" t="s">
        <v>39</v>
      </c>
      <c r="AZ2" s="39" t="s">
        <v>40</v>
      </c>
      <c r="BA2" s="39" t="s">
        <v>41</v>
      </c>
      <c r="BB2" s="39" t="s">
        <v>42</v>
      </c>
      <c r="BC2" s="39" t="s">
        <v>43</v>
      </c>
      <c r="BD2" s="39" t="s">
        <v>44</v>
      </c>
    </row>
    <row r="3" spans="1:56" ht="15">
      <c r="A3" s="61" t="str">
        <f>VLOOKUP(CONCATENATE($C3," - ",$B3),[2]ACHIEV!$B$12:$C$78,2,FALSE)</f>
        <v>RetroMax60</v>
      </c>
      <c r="B3" s="61" t="str">
        <f>'SC-Retro'!$C$7</f>
        <v>Retro</v>
      </c>
      <c r="C3" s="61" t="str">
        <f>'SC-Retro'!$C$8</f>
        <v>Solar Water Heater</v>
      </c>
      <c r="D3" s="61" t="s">
        <v>522</v>
      </c>
      <c r="E3" s="61" t="str">
        <f>'SC-Retro'!$A$9</f>
        <v>Water Heating</v>
      </c>
      <c r="F3" s="160">
        <f t="shared" ref="F3:F10" si="1">VLOOKUP($J3,MeasureOutput,14,FALSE)</f>
        <v>0.19108761428992718</v>
      </c>
      <c r="G3" s="63">
        <f>'SC-Retro'!A61</f>
        <v>1143.7735891348643</v>
      </c>
      <c r="H3" s="63">
        <f>'SC-Retro'!B61</f>
        <v>706.87339201859641</v>
      </c>
      <c r="I3" s="9" t="str">
        <f>'SC-Retro'!C61</f>
        <v>Single Family</v>
      </c>
      <c r="J3" s="9" t="str">
        <f>'SC-Retro'!D61</f>
        <v>SHW Solar Zone 1</v>
      </c>
      <c r="K3" s="36">
        <f>'SC-Retro'!E61</f>
        <v>0.18856300427979383</v>
      </c>
      <c r="L3" s="36">
        <f>'SC-Retro'!F61</f>
        <v>0.37230586508400093</v>
      </c>
      <c r="M3" s="36">
        <f>'SC-Retro'!G61</f>
        <v>0.54545702439936683</v>
      </c>
      <c r="N3" s="36">
        <f>'SC-Retro'!H61</f>
        <v>0.7025238783728992</v>
      </c>
      <c r="O3" s="36">
        <f>'SC-Retro'!I61</f>
        <v>0.8386336913598581</v>
      </c>
      <c r="P3" s="36">
        <f>'SC-Retro'!J61</f>
        <v>0.89714794287801602</v>
      </c>
      <c r="Q3" s="36">
        <f>'SC-Retro'!K61</f>
        <v>0.83991891263901497</v>
      </c>
      <c r="R3" s="36">
        <f>'SC-Retro'!L61</f>
        <v>0.7856172505361102</v>
      </c>
      <c r="S3" s="36">
        <f>'SC-Retro'!M61</f>
        <v>0.73444231269168958</v>
      </c>
      <c r="T3" s="36">
        <f>'SC-Retro'!N61</f>
        <v>0.68656941033473784</v>
      </c>
      <c r="U3" s="36">
        <f>'SC-Retro'!O61</f>
        <v>0.64208088352181147</v>
      </c>
      <c r="V3" s="36">
        <f>'SC-Retro'!P61</f>
        <v>0.60093430575235285</v>
      </c>
      <c r="W3" s="36">
        <f>'SC-Retro'!Q61</f>
        <v>0.56296915637690548</v>
      </c>
      <c r="X3" s="36">
        <f>'SC-Retro'!R61</f>
        <v>0.52185889353770165</v>
      </c>
      <c r="Y3" s="36">
        <f>'SC-Retro'!S61</f>
        <v>0.48985913138916631</v>
      </c>
      <c r="Z3" s="36">
        <f>'SC-Retro'!T61</f>
        <v>0.46035819707371389</v>
      </c>
      <c r="AA3" s="36">
        <f>'SC-Retro'!U61</f>
        <v>0.43290891387178504</v>
      </c>
      <c r="AB3" s="36">
        <f>'SC-Retro'!V61</f>
        <v>0.40735099644178135</v>
      </c>
      <c r="AC3" s="36">
        <f>'SC-Retro'!W61</f>
        <v>0.38357830071998883</v>
      </c>
      <c r="AD3" s="36">
        <f>'SC-Retro'!X61</f>
        <v>0.3612498692321866</v>
      </c>
      <c r="AE3" s="36">
        <f>'SC-Retro'!Y61</f>
        <v>16.808914098685001</v>
      </c>
      <c r="AF3" s="161">
        <f t="shared" ref="AF3:AO4" si="2">VLOOKUP($J3,MeasureOutput,COLUMN()-17,FALSE)</f>
        <v>78.327073618121432</v>
      </c>
      <c r="AG3" s="161">
        <f t="shared" si="2"/>
        <v>69.22230146191464</v>
      </c>
      <c r="AH3" s="161">
        <f t="shared" si="2"/>
        <v>76.008621650319299</v>
      </c>
      <c r="AI3" s="161">
        <f t="shared" si="2"/>
        <v>63.207126664570417</v>
      </c>
      <c r="AJ3" s="161">
        <f t="shared" si="2"/>
        <v>61.332699762450162</v>
      </c>
      <c r="AK3" s="161">
        <f t="shared" si="2"/>
        <v>55.077668166019755</v>
      </c>
      <c r="AL3" s="161">
        <f t="shared" si="2"/>
        <v>47.739139353382974</v>
      </c>
      <c r="AM3" s="161">
        <f t="shared" si="2"/>
        <v>51.654459890190864</v>
      </c>
      <c r="AN3" s="161">
        <f t="shared" si="2"/>
        <v>46.737737710123412</v>
      </c>
      <c r="AO3" s="161">
        <f t="shared" si="2"/>
        <v>61.735447643269779</v>
      </c>
      <c r="AP3" s="161">
        <f t="shared" ref="AP3:BD4" si="3">VLOOKUP($J3,MeasureOutput,COLUMN()-17,FALSE)</f>
        <v>60.876146447976964</v>
      </c>
      <c r="AQ3" s="161">
        <f t="shared" si="3"/>
        <v>74.676425554283014</v>
      </c>
      <c r="AR3" s="161">
        <f t="shared" si="3"/>
        <v>0</v>
      </c>
      <c r="AS3" s="161">
        <f t="shared" si="3"/>
        <v>45.677315530568045</v>
      </c>
      <c r="AT3" s="161">
        <f t="shared" si="3"/>
        <v>38.835409163429418</v>
      </c>
      <c r="AU3" s="161">
        <f t="shared" si="3"/>
        <v>36.340653076061187</v>
      </c>
      <c r="AV3" s="161">
        <f t="shared" si="3"/>
        <v>33.81782584079064</v>
      </c>
      <c r="AW3" s="161">
        <f t="shared" si="3"/>
        <v>32.554169545902049</v>
      </c>
      <c r="AX3" s="161">
        <f t="shared" si="3"/>
        <v>25.543108839613204</v>
      </c>
      <c r="AY3" s="161">
        <f t="shared" si="3"/>
        <v>27.015255249312506</v>
      </c>
      <c r="AZ3" s="161">
        <f t="shared" si="3"/>
        <v>23.611365004384389</v>
      </c>
      <c r="BA3" s="161">
        <f t="shared" si="3"/>
        <v>27.030668819367303</v>
      </c>
      <c r="BB3" s="161">
        <f t="shared" si="3"/>
        <v>28.298666993211469</v>
      </c>
      <c r="BC3" s="161">
        <f t="shared" si="3"/>
        <v>35.967477655547228</v>
      </c>
      <c r="BD3" s="161">
        <f t="shared" si="3"/>
        <v>42.486825494054067</v>
      </c>
    </row>
    <row r="4" spans="1:56" ht="15">
      <c r="A4" s="61" t="str">
        <f>VLOOKUP(CONCATENATE($C4," - ",$B4),[2]ACHIEV!$B$12:$C$78,2,FALSE)</f>
        <v>RetroMax60</v>
      </c>
      <c r="B4" s="61" t="str">
        <f>'SC-Retro'!$C$7</f>
        <v>Retro</v>
      </c>
      <c r="C4" s="61" t="str">
        <f>'SC-Retro'!$C$8</f>
        <v>Solar Water Heater</v>
      </c>
      <c r="D4" s="61" t="s">
        <v>522</v>
      </c>
      <c r="E4" s="61" t="str">
        <f>'SC-Retro'!$A$9</f>
        <v>Water Heating</v>
      </c>
      <c r="F4" s="160">
        <f t="shared" si="1"/>
        <v>0.20114485714729177</v>
      </c>
      <c r="G4" s="63">
        <f>'SC-Retro'!A62</f>
        <v>1203.9721990893308</v>
      </c>
      <c r="H4" s="63">
        <f>'SC-Retro'!B62</f>
        <v>671.05544851452532</v>
      </c>
      <c r="I4" s="9" t="str">
        <f>'SC-Retro'!C62</f>
        <v>Single Family</v>
      </c>
      <c r="J4" s="9" t="str">
        <f>'SC-Retro'!D62</f>
        <v>SHW Solar Zone 2</v>
      </c>
      <c r="K4" s="36">
        <f>'SC-Retro'!E62</f>
        <v>0.24599916745792946</v>
      </c>
      <c r="L4" s="36">
        <f>'SC-Retro'!F62</f>
        <v>0.48570997900770496</v>
      </c>
      <c r="M4" s="36">
        <f>'SC-Retro'!G62</f>
        <v>0.71160286398079242</v>
      </c>
      <c r="N4" s="36">
        <f>'SC-Retro'!H62</f>
        <v>0.91651217511688787</v>
      </c>
      <c r="O4" s="36">
        <f>'SC-Retro'!I62</f>
        <v>1.0940809447996394</v>
      </c>
      <c r="P4" s="36">
        <f>'SC-Retro'!J62</f>
        <v>1.170418597632811</v>
      </c>
      <c r="Q4" s="36">
        <f>'SC-Retro'!K62</f>
        <v>1.0957576436085035</v>
      </c>
      <c r="R4" s="36">
        <f>'SC-Retro'!L62</f>
        <v>1.0249157320685534</v>
      </c>
      <c r="S4" s="36">
        <f>'SC-Retro'!M62</f>
        <v>0.95815294287497998</v>
      </c>
      <c r="T4" s="36">
        <f>'SC-Retro'!N62</f>
        <v>0.89569798693818137</v>
      </c>
      <c r="U4" s="36">
        <f>'SC-Retro'!O62</f>
        <v>0.83765828504008011</v>
      </c>
      <c r="V4" s="36">
        <f>'SC-Retro'!P62</f>
        <v>0.78397848759683131</v>
      </c>
      <c r="W4" s="36">
        <f>'SC-Retro'!Q62</f>
        <v>0.73444917947805544</v>
      </c>
      <c r="X4" s="36">
        <f>'SC-Retro'!R62</f>
        <v>0.68081675846818024</v>
      </c>
      <c r="Y4" s="36">
        <f>'SC-Retro'!S62</f>
        <v>0.63906989047857743</v>
      </c>
      <c r="Z4" s="36">
        <f>'SC-Retro'!T62</f>
        <v>0.60058299158475237</v>
      </c>
      <c r="AA4" s="36">
        <f>'SC-Retro'!U62</f>
        <v>0.56477267534174258</v>
      </c>
      <c r="AB4" s="36">
        <f>'SC-Retro'!V62</f>
        <v>0.53142983360164009</v>
      </c>
      <c r="AC4" s="36">
        <f>'SC-Retro'!W62</f>
        <v>0.50041599089093436</v>
      </c>
      <c r="AD4" s="36">
        <f>'SC-Retro'!X62</f>
        <v>0.47128633432007033</v>
      </c>
      <c r="AE4" s="36">
        <f>'SC-Retro'!Y62</f>
        <v>21.928897929589589</v>
      </c>
      <c r="AF4" s="161">
        <f t="shared" si="2"/>
        <v>82.449551176969933</v>
      </c>
      <c r="AG4" s="161">
        <f t="shared" si="2"/>
        <v>72.865580486225937</v>
      </c>
      <c r="AH4" s="161">
        <f t="shared" si="2"/>
        <v>80.009075421388729</v>
      </c>
      <c r="AI4" s="161">
        <f t="shared" si="2"/>
        <v>66.533817541653065</v>
      </c>
      <c r="AJ4" s="161">
        <f t="shared" si="2"/>
        <v>64.560736592052805</v>
      </c>
      <c r="AK4" s="161">
        <f t="shared" si="2"/>
        <v>57.976492806336587</v>
      </c>
      <c r="AL4" s="161">
        <f t="shared" si="2"/>
        <v>50.251725635139969</v>
      </c>
      <c r="AM4" s="161">
        <f t="shared" si="2"/>
        <v>54.373115673885124</v>
      </c>
      <c r="AN4" s="161">
        <f t="shared" si="2"/>
        <v>49.19761864223517</v>
      </c>
      <c r="AO4" s="161">
        <f t="shared" si="2"/>
        <v>64.984681729757654</v>
      </c>
      <c r="AP4" s="161">
        <f t="shared" si="3"/>
        <v>64.080154155765229</v>
      </c>
      <c r="AQ4" s="161">
        <f t="shared" si="3"/>
        <v>78.606763741350548</v>
      </c>
      <c r="AR4" s="161">
        <f t="shared" si="3"/>
        <v>0</v>
      </c>
      <c r="AS4" s="161">
        <f t="shared" si="3"/>
        <v>48.081384769018996</v>
      </c>
      <c r="AT4" s="161">
        <f t="shared" si="3"/>
        <v>40.879378066767813</v>
      </c>
      <c r="AU4" s="161">
        <f t="shared" si="3"/>
        <v>38.253319027432831</v>
      </c>
      <c r="AV4" s="161">
        <f t="shared" si="3"/>
        <v>35.597711411358574</v>
      </c>
      <c r="AW4" s="161">
        <f t="shared" si="3"/>
        <v>34.267546890423212</v>
      </c>
      <c r="AX4" s="161">
        <f t="shared" si="3"/>
        <v>26.88748298906653</v>
      </c>
      <c r="AY4" s="161">
        <f t="shared" si="3"/>
        <v>28.437110788750008</v>
      </c>
      <c r="AZ4" s="161">
        <f t="shared" si="3"/>
        <v>24.85406842566778</v>
      </c>
      <c r="BA4" s="161">
        <f t="shared" si="3"/>
        <v>28.453335599334004</v>
      </c>
      <c r="BB4" s="161">
        <f t="shared" si="3"/>
        <v>29.78807051916997</v>
      </c>
      <c r="BC4" s="161">
        <f t="shared" si="3"/>
        <v>37.860502795312875</v>
      </c>
      <c r="BD4" s="161">
        <f t="shared" si="3"/>
        <v>44.722974204267445</v>
      </c>
    </row>
    <row r="5" spans="1:56" ht="15">
      <c r="A5" s="61" t="str">
        <f>VLOOKUP(CONCATENATE($C5," - ",$B5),[2]ACHIEV!$B$12:$C$78,2,FALSE)</f>
        <v>RetroMax60</v>
      </c>
      <c r="B5" s="61" t="str">
        <f>'SC-Retro'!$C$7</f>
        <v>Retro</v>
      </c>
      <c r="C5" s="61" t="str">
        <f>'SC-Retro'!$C$8</f>
        <v>Solar Water Heater</v>
      </c>
      <c r="D5" s="61" t="s">
        <v>522</v>
      </c>
      <c r="E5" s="61" t="str">
        <f>'SC-Retro'!$A$9</f>
        <v>Water Heating</v>
      </c>
      <c r="F5" s="160">
        <f t="shared" si="1"/>
        <v>0.21623072143333863</v>
      </c>
      <c r="G5" s="63">
        <f>'SC-Retro'!A63</f>
        <v>1294.2701140210308</v>
      </c>
      <c r="H5" s="63">
        <f>'SC-Retro'!B63</f>
        <v>623.57584898587277</v>
      </c>
      <c r="I5" s="9" t="str">
        <f>'SC-Retro'!C63</f>
        <v>Single Family</v>
      </c>
      <c r="J5" s="9" t="str">
        <f>'SC-Retro'!D63</f>
        <v>SHW Solar Zone 3</v>
      </c>
      <c r="K5" s="36">
        <f>'SC-Retro'!E63</f>
        <v>0.17031543538160651</v>
      </c>
      <c r="L5" s="36">
        <f>'SC-Retro'!F63</f>
        <v>0.33627718093003534</v>
      </c>
      <c r="M5" s="36">
        <f>'SC-Retro'!G63</f>
        <v>0.49267220230903336</v>
      </c>
      <c r="N5" s="36">
        <f>'SC-Retro'!H63</f>
        <v>0.63453942446480571</v>
      </c>
      <c r="O5" s="36">
        <f>'SC-Retro'!I63</f>
        <v>0.75747765483042728</v>
      </c>
      <c r="P5" s="36">
        <f>'SC-Retro'!J63</f>
        <v>0.81032938076366667</v>
      </c>
      <c r="Q5" s="36">
        <f>'SC-Retro'!K63</f>
        <v>0.75863850301778701</v>
      </c>
      <c r="R5" s="36">
        <f>'SC-Retro'!L63</f>
        <v>0.70959170691732742</v>
      </c>
      <c r="S5" s="36">
        <f>'SC-Retro'!M63</f>
        <v>0.66336905654702283</v>
      </c>
      <c r="T5" s="36">
        <f>'SC-Retro'!N63</f>
        <v>0.62012889796423398</v>
      </c>
      <c r="U5" s="36">
        <f>'SC-Retro'!O63</f>
        <v>0.5799456030354645</v>
      </c>
      <c r="V5" s="36">
        <f>'SC-Retro'!P63</f>
        <v>0.54278085094618378</v>
      </c>
      <c r="W5" s="36">
        <f>'SC-Retro'!Q63</f>
        <v>0.50848965490853171</v>
      </c>
      <c r="X5" s="36">
        <f>'SC-Retro'!R63</f>
        <v>0.47135770349073414</v>
      </c>
      <c r="Y5" s="36">
        <f>'SC-Retro'!S63</f>
        <v>0.4424546138138814</v>
      </c>
      <c r="Z5" s="36">
        <f>'SC-Retro'!T63</f>
        <v>0.41580853606766011</v>
      </c>
      <c r="AA5" s="36">
        <f>'SC-Retro'!U63</f>
        <v>0.39101556759908074</v>
      </c>
      <c r="AB5" s="36">
        <f>'SC-Retro'!V63</f>
        <v>0.36793093415699091</v>
      </c>
      <c r="AC5" s="36">
        <f>'SC-Retro'!W63</f>
        <v>0.34645876342277965</v>
      </c>
      <c r="AD5" s="36">
        <f>'SC-Retro'!X63</f>
        <v>0.32629109296823694</v>
      </c>
      <c r="AE5" s="36">
        <f>'SC-Retro'!Y63</f>
        <v>15.182286334182763</v>
      </c>
      <c r="AF5" s="161">
        <f t="shared" ref="AF5:AO10" si="4">VLOOKUP($J5,MeasureOutput,COLUMN()-17,FALSE)</f>
        <v>88.633267515242679</v>
      </c>
      <c r="AG5" s="161">
        <f t="shared" si="4"/>
        <v>78.330499022692891</v>
      </c>
      <c r="AH5" s="161">
        <f t="shared" si="4"/>
        <v>86.00975607799289</v>
      </c>
      <c r="AI5" s="161">
        <f t="shared" si="4"/>
        <v>71.523853857277047</v>
      </c>
      <c r="AJ5" s="161">
        <f t="shared" si="4"/>
        <v>69.402791836456757</v>
      </c>
      <c r="AK5" s="161">
        <f t="shared" si="4"/>
        <v>62.324729766811828</v>
      </c>
      <c r="AL5" s="161">
        <f t="shared" si="4"/>
        <v>54.02060505777547</v>
      </c>
      <c r="AM5" s="161">
        <f t="shared" si="4"/>
        <v>58.451099349426507</v>
      </c>
      <c r="AN5" s="161">
        <f t="shared" si="4"/>
        <v>52.887440040402808</v>
      </c>
      <c r="AO5" s="161">
        <f t="shared" si="4"/>
        <v>69.858532859489486</v>
      </c>
      <c r="AP5" s="161">
        <f t="shared" ref="AP5:BD10" si="5">VLOOKUP($J5,MeasureOutput,COLUMN()-17,FALSE)</f>
        <v>68.886165717447611</v>
      </c>
      <c r="AQ5" s="161">
        <f t="shared" si="5"/>
        <v>84.502271021951842</v>
      </c>
      <c r="AR5" s="161">
        <f t="shared" si="5"/>
        <v>0</v>
      </c>
      <c r="AS5" s="161">
        <f t="shared" si="5"/>
        <v>51.687488626695419</v>
      </c>
      <c r="AT5" s="161">
        <f t="shared" si="5"/>
        <v>43.9453314217754</v>
      </c>
      <c r="AU5" s="161">
        <f t="shared" si="5"/>
        <v>41.122317954490292</v>
      </c>
      <c r="AV5" s="161">
        <f t="shared" si="5"/>
        <v>38.267539767210465</v>
      </c>
      <c r="AW5" s="161">
        <f t="shared" si="5"/>
        <v>36.837612907204949</v>
      </c>
      <c r="AX5" s="161">
        <f t="shared" si="5"/>
        <v>28.904044213246522</v>
      </c>
      <c r="AY5" s="161">
        <f t="shared" si="5"/>
        <v>30.569894097906257</v>
      </c>
      <c r="AZ5" s="161">
        <f t="shared" si="5"/>
        <v>26.718123557592861</v>
      </c>
      <c r="BA5" s="161">
        <f t="shared" si="5"/>
        <v>30.587335769284053</v>
      </c>
      <c r="BB5" s="161">
        <f t="shared" si="5"/>
        <v>32.022175808107718</v>
      </c>
      <c r="BC5" s="161">
        <f t="shared" si="5"/>
        <v>40.700040504961343</v>
      </c>
      <c r="BD5" s="161">
        <f t="shared" si="5"/>
        <v>48.077197269587501</v>
      </c>
    </row>
    <row r="6" spans="1:56" ht="15">
      <c r="A6" s="61" t="str">
        <f>VLOOKUP(CONCATENATE($C6," - ",$B6),[2]ACHIEV!$B$12:$C$78,2,FALSE)</f>
        <v>RetroMax60</v>
      </c>
      <c r="B6" s="61" t="str">
        <f>'SC-Retro'!$C$7</f>
        <v>Retro</v>
      </c>
      <c r="C6" s="61" t="str">
        <f>'SC-Retro'!$C$8</f>
        <v>Solar Water Heater</v>
      </c>
      <c r="D6" s="61" t="s">
        <v>522</v>
      </c>
      <c r="E6" s="61" t="str">
        <f>'SC-Retro'!$A$9</f>
        <v>Water Heating</v>
      </c>
      <c r="F6" s="160">
        <f t="shared" si="1"/>
        <v>0.25143107143411469</v>
      </c>
      <c r="G6" s="63">
        <f>'SC-Retro'!A64</f>
        <v>1504.9652488616637</v>
      </c>
      <c r="H6" s="63">
        <f>'SC-Retro'!B64</f>
        <v>534.94726319905465</v>
      </c>
      <c r="I6" s="9" t="str">
        <f>'SC-Retro'!C64</f>
        <v>Single Family</v>
      </c>
      <c r="J6" s="9" t="str">
        <f>'SC-Retro'!D64</f>
        <v>SHW Solar Zone 4</v>
      </c>
      <c r="K6" s="36">
        <f>'SC-Retro'!E64</f>
        <v>5.4795664727915319E-2</v>
      </c>
      <c r="L6" s="36">
        <f>'SC-Retro'!F64</f>
        <v>0.10819061478840422</v>
      </c>
      <c r="M6" s="36">
        <f>'SC-Retro'!G64</f>
        <v>0.15850765820491788</v>
      </c>
      <c r="N6" s="36">
        <f>'SC-Retro'!H64</f>
        <v>0.20415066597876247</v>
      </c>
      <c r="O6" s="36">
        <f>'SC-Retro'!I64</f>
        <v>0.2437036403657529</v>
      </c>
      <c r="P6" s="36">
        <f>'SC-Retro'!J64</f>
        <v>0.2607076508833</v>
      </c>
      <c r="Q6" s="36">
        <f>'SC-Retro'!K64</f>
        <v>0.24407712059631478</v>
      </c>
      <c r="R6" s="36">
        <f>'SC-Retro'!L64</f>
        <v>0.22829727193446273</v>
      </c>
      <c r="S6" s="36">
        <f>'SC-Retro'!M64</f>
        <v>0.21342603699999008</v>
      </c>
      <c r="T6" s="36">
        <f>'SC-Retro'!N64</f>
        <v>0.1995143605440329</v>
      </c>
      <c r="U6" s="36">
        <f>'SC-Retro'!O64</f>
        <v>0.18658617026200522</v>
      </c>
      <c r="V6" s="36">
        <f>'SC-Retro'!P64</f>
        <v>0.1746291371803152</v>
      </c>
      <c r="W6" s="36">
        <f>'SC-Retro'!Q64</f>
        <v>0.16359661463185493</v>
      </c>
      <c r="X6" s="36">
        <f>'SC-Retro'!R64</f>
        <v>0.15165013452555082</v>
      </c>
      <c r="Y6" s="36">
        <f>'SC-Retro'!S64</f>
        <v>0.1423511299580251</v>
      </c>
      <c r="Z6" s="36">
        <f>'SC-Retro'!T64</f>
        <v>0.13377827489515631</v>
      </c>
      <c r="AA6" s="36">
        <f>'SC-Retro'!U64</f>
        <v>0.12580162154738364</v>
      </c>
      <c r="AB6" s="36">
        <f>'SC-Retro'!V64</f>
        <v>0.11837459162713378</v>
      </c>
      <c r="AC6" s="36">
        <f>'SC-Retro'!W64</f>
        <v>0.11146634008847456</v>
      </c>
      <c r="AD6" s="36">
        <f>'SC-Retro'!X64</f>
        <v>0.10497778603526073</v>
      </c>
      <c r="AE6" s="36">
        <f>'SC-Retro'!Y64</f>
        <v>4.8846040871579985</v>
      </c>
      <c r="AF6" s="161">
        <f t="shared" si="4"/>
        <v>103.06193897121241</v>
      </c>
      <c r="AG6" s="161">
        <f t="shared" si="4"/>
        <v>91.081975607782425</v>
      </c>
      <c r="AH6" s="161">
        <f t="shared" si="4"/>
        <v>100.01134427673591</v>
      </c>
      <c r="AI6" s="161">
        <f t="shared" si="4"/>
        <v>83.167271927066338</v>
      </c>
      <c r="AJ6" s="161">
        <f t="shared" si="4"/>
        <v>80.700920740065996</v>
      </c>
      <c r="AK6" s="161">
        <f t="shared" si="4"/>
        <v>72.470616007920739</v>
      </c>
      <c r="AL6" s="161">
        <f t="shared" si="4"/>
        <v>62.81465704392496</v>
      </c>
      <c r="AM6" s="161">
        <f t="shared" si="4"/>
        <v>67.966394592356409</v>
      </c>
      <c r="AN6" s="161">
        <f t="shared" si="4"/>
        <v>61.497023302793963</v>
      </c>
      <c r="AO6" s="161">
        <f t="shared" si="4"/>
        <v>81.230852162197081</v>
      </c>
      <c r="AP6" s="161">
        <f t="shared" si="5"/>
        <v>80.100192694706521</v>
      </c>
      <c r="AQ6" s="161">
        <f t="shared" si="5"/>
        <v>98.258454676688189</v>
      </c>
      <c r="AR6" s="161">
        <f t="shared" si="5"/>
        <v>0</v>
      </c>
      <c r="AS6" s="161">
        <f t="shared" si="5"/>
        <v>60.101730961273745</v>
      </c>
      <c r="AT6" s="161">
        <f t="shared" si="5"/>
        <v>51.099222583459763</v>
      </c>
      <c r="AU6" s="161">
        <f t="shared" si="5"/>
        <v>47.81664878429104</v>
      </c>
      <c r="AV6" s="161">
        <f t="shared" si="5"/>
        <v>44.497139264198211</v>
      </c>
      <c r="AW6" s="161">
        <f t="shared" si="5"/>
        <v>42.834433613029013</v>
      </c>
      <c r="AX6" s="161">
        <f t="shared" si="5"/>
        <v>33.609353736333162</v>
      </c>
      <c r="AY6" s="161">
        <f t="shared" si="5"/>
        <v>35.546388485937513</v>
      </c>
      <c r="AZ6" s="161">
        <f t="shared" si="5"/>
        <v>31.067585532084724</v>
      </c>
      <c r="BA6" s="161">
        <f t="shared" si="5"/>
        <v>35.566669499167503</v>
      </c>
      <c r="BB6" s="161">
        <f t="shared" si="5"/>
        <v>37.235088148962461</v>
      </c>
      <c r="BC6" s="161">
        <f t="shared" si="5"/>
        <v>47.325628494141093</v>
      </c>
      <c r="BD6" s="161">
        <f t="shared" si="5"/>
        <v>55.903717755334299</v>
      </c>
    </row>
    <row r="7" spans="1:56" ht="15">
      <c r="A7" s="61" t="str">
        <f>VLOOKUP(CONCATENATE($C7," - ",$B7),[2]ACHIEV!$B$12:$C$78,2,FALSE)</f>
        <v>RetroMax60</v>
      </c>
      <c r="B7" s="61" t="str">
        <f>'SC-Retro'!$C$7</f>
        <v>Retro</v>
      </c>
      <c r="C7" s="61" t="str">
        <f>'SC-Retro'!$C$8</f>
        <v>Solar Water Heater</v>
      </c>
      <c r="D7" s="61" t="s">
        <v>522</v>
      </c>
      <c r="E7" s="61" t="str">
        <f>'SC-Retro'!$A$9</f>
        <v>Water Heating</v>
      </c>
      <c r="F7" s="160">
        <f t="shared" si="1"/>
        <v>0.19108761428992718</v>
      </c>
      <c r="G7" s="63">
        <f>'SC-Retro'!A65</f>
        <v>1143.7735891348643</v>
      </c>
      <c r="H7" s="63">
        <f>'SC-Retro'!B65</f>
        <v>706.87339201859641</v>
      </c>
      <c r="I7" s="9" t="str">
        <f>'SC-Retro'!C65</f>
        <v>Multifamily - Low Rise</v>
      </c>
      <c r="J7" s="9" t="str">
        <f>'SC-Retro'!D65</f>
        <v>SHW Solar Zone 1</v>
      </c>
      <c r="K7" s="36">
        <f ca="1">'SC-Retro'!E65</f>
        <v>7.2026513483340576E-2</v>
      </c>
      <c r="L7" s="36">
        <f ca="1">'SC-Retro'!F65</f>
        <v>0.14228864969947314</v>
      </c>
      <c r="M7" s="36">
        <f ca="1">'SC-Retro'!G65</f>
        <v>0.20868934100620926</v>
      </c>
      <c r="N7" s="36">
        <f ca="1">'SC-Retro'!H65</f>
        <v>0.269291976223624</v>
      </c>
      <c r="O7" s="36">
        <f ca="1">'SC-Retro'!I65</f>
        <v>0.32241655584925422</v>
      </c>
      <c r="P7" s="36">
        <f ca="1">'SC-Retro'!J65</f>
        <v>0.34634687776377082</v>
      </c>
      <c r="Q7" s="36">
        <f ca="1">'SC-Retro'!K65</f>
        <v>0.32597863183574766</v>
      </c>
      <c r="R7" s="36">
        <f ca="1">'SC-Retro'!L65</f>
        <v>0.30680821810665448</v>
      </c>
      <c r="S7" s="36">
        <f ca="1">'SC-Retro'!M65</f>
        <v>0.2887651934965198</v>
      </c>
      <c r="T7" s="36">
        <f ca="1">'SC-Retro'!N65</f>
        <v>0.27178325759871158</v>
      </c>
      <c r="U7" s="36">
        <f ca="1">'SC-Retro'!O65</f>
        <v>0.25580000905426936</v>
      </c>
      <c r="V7" s="36">
        <f ca="1">'SC-Retro'!P65</f>
        <v>0.2407567162535714</v>
      </c>
      <c r="W7" s="36">
        <f ca="1">'SC-Retro'!Q65</f>
        <v>0.22659810152276177</v>
      </c>
      <c r="X7" s="36">
        <f ca="1">'SC-Retro'!R65</f>
        <v>0.21327213800191616</v>
      </c>
      <c r="Y7" s="36">
        <f ca="1">'SC-Retro'!S65</f>
        <v>0.20072985846856009</v>
      </c>
      <c r="Z7" s="36">
        <f ca="1">'SC-Retro'!T65</f>
        <v>0.18892517540404671</v>
      </c>
      <c r="AA7" s="36">
        <f ca="1">'SC-Retro'!U65</f>
        <v>0.1778147116416188</v>
      </c>
      <c r="AB7" s="36">
        <f ca="1">'SC-Retro'!V65</f>
        <v>0.16735764097384867</v>
      </c>
      <c r="AC7" s="36">
        <f ca="1">'SC-Retro'!W65</f>
        <v>0.15751553813377589</v>
      </c>
      <c r="AD7" s="36">
        <f ca="1">'SC-Retro'!X65</f>
        <v>0.14825223759846148</v>
      </c>
      <c r="AE7" s="36">
        <f ca="1">'SC-Retro'!Y65</f>
        <v>6.8981592492389749</v>
      </c>
      <c r="AF7" s="161">
        <f t="shared" si="4"/>
        <v>78.327073618121432</v>
      </c>
      <c r="AG7" s="161">
        <f t="shared" si="4"/>
        <v>69.22230146191464</v>
      </c>
      <c r="AH7" s="161">
        <f t="shared" si="4"/>
        <v>76.008621650319299</v>
      </c>
      <c r="AI7" s="161">
        <f t="shared" si="4"/>
        <v>63.207126664570417</v>
      </c>
      <c r="AJ7" s="161">
        <f t="shared" si="4"/>
        <v>61.332699762450162</v>
      </c>
      <c r="AK7" s="161">
        <f t="shared" si="4"/>
        <v>55.077668166019755</v>
      </c>
      <c r="AL7" s="161">
        <f t="shared" si="4"/>
        <v>47.739139353382974</v>
      </c>
      <c r="AM7" s="161">
        <f t="shared" si="4"/>
        <v>51.654459890190864</v>
      </c>
      <c r="AN7" s="161">
        <f t="shared" si="4"/>
        <v>46.737737710123412</v>
      </c>
      <c r="AO7" s="161">
        <f t="shared" si="4"/>
        <v>61.735447643269779</v>
      </c>
      <c r="AP7" s="161">
        <f t="shared" si="5"/>
        <v>60.876146447976964</v>
      </c>
      <c r="AQ7" s="161">
        <f t="shared" si="5"/>
        <v>74.676425554283014</v>
      </c>
      <c r="AR7" s="161">
        <f t="shared" si="5"/>
        <v>0</v>
      </c>
      <c r="AS7" s="161">
        <f t="shared" si="5"/>
        <v>45.677315530568045</v>
      </c>
      <c r="AT7" s="161">
        <f t="shared" si="5"/>
        <v>38.835409163429418</v>
      </c>
      <c r="AU7" s="161">
        <f t="shared" si="5"/>
        <v>36.340653076061187</v>
      </c>
      <c r="AV7" s="161">
        <f t="shared" si="5"/>
        <v>33.81782584079064</v>
      </c>
      <c r="AW7" s="161">
        <f t="shared" si="5"/>
        <v>32.554169545902049</v>
      </c>
      <c r="AX7" s="161">
        <f t="shared" si="5"/>
        <v>25.543108839613204</v>
      </c>
      <c r="AY7" s="161">
        <f t="shared" si="5"/>
        <v>27.015255249312506</v>
      </c>
      <c r="AZ7" s="161">
        <f t="shared" si="5"/>
        <v>23.611365004384389</v>
      </c>
      <c r="BA7" s="161">
        <f t="shared" si="5"/>
        <v>27.030668819367303</v>
      </c>
      <c r="BB7" s="161">
        <f t="shared" si="5"/>
        <v>28.298666993211469</v>
      </c>
      <c r="BC7" s="161">
        <f t="shared" si="5"/>
        <v>35.967477655547228</v>
      </c>
      <c r="BD7" s="161">
        <f t="shared" si="5"/>
        <v>42.486825494054067</v>
      </c>
    </row>
    <row r="8" spans="1:56" ht="15">
      <c r="A8" s="61" t="str">
        <f>VLOOKUP(CONCATENATE($C8," - ",$B8),[2]ACHIEV!$B$12:$C$78,2,FALSE)</f>
        <v>RetroMax60</v>
      </c>
      <c r="B8" s="61" t="str">
        <f>'SC-Retro'!$C$7</f>
        <v>Retro</v>
      </c>
      <c r="C8" s="61" t="str">
        <f>'SC-Retro'!$C$8</f>
        <v>Solar Water Heater</v>
      </c>
      <c r="D8" s="61" t="s">
        <v>522</v>
      </c>
      <c r="E8" s="61" t="str">
        <f>'SC-Retro'!$A$9</f>
        <v>Water Heating</v>
      </c>
      <c r="F8" s="160">
        <f t="shared" si="1"/>
        <v>0.20114485714729177</v>
      </c>
      <c r="G8" s="63">
        <f>'SC-Retro'!A66</f>
        <v>1203.9721990893308</v>
      </c>
      <c r="H8" s="63">
        <f>'SC-Retro'!B66</f>
        <v>671.05544851452532</v>
      </c>
      <c r="I8" s="9" t="str">
        <f>'SC-Retro'!C66</f>
        <v>Multifamily - Low Rise</v>
      </c>
      <c r="J8" s="9" t="str">
        <f>'SC-Retro'!D66</f>
        <v>SHW Solar Zone 2</v>
      </c>
      <c r="K8" s="36">
        <f ca="1">'SC-Retro'!E66</f>
        <v>9.3965740625918712E-2</v>
      </c>
      <c r="L8" s="36">
        <f ca="1">'SC-Retro'!F66</f>
        <v>0.18562967586603216</v>
      </c>
      <c r="M8" s="36">
        <f ca="1">'SC-Retro'!G66</f>
        <v>0.27225597269704011</v>
      </c>
      <c r="N8" s="36">
        <f ca="1">'SC-Retro'!H66</f>
        <v>0.35131812948745444</v>
      </c>
      <c r="O8" s="36">
        <f ca="1">'SC-Retro'!I66</f>
        <v>0.42062442002611194</v>
      </c>
      <c r="P8" s="36">
        <f ca="1">'SC-Retro'!J66</f>
        <v>0.45184390176090833</v>
      </c>
      <c r="Q8" s="36">
        <f ca="1">'SC-Retro'!K66</f>
        <v>0.42527150194149677</v>
      </c>
      <c r="R8" s="36">
        <f ca="1">'SC-Retro'!L66</f>
        <v>0.40026179319617256</v>
      </c>
      <c r="S8" s="36">
        <f ca="1">'SC-Retro'!M66</f>
        <v>0.37672287553059475</v>
      </c>
      <c r="T8" s="36">
        <f ca="1">'SC-Retro'!N66</f>
        <v>0.35456825347925097</v>
      </c>
      <c r="U8" s="36">
        <f ca="1">'SC-Retro'!O66</f>
        <v>0.33371651827157595</v>
      </c>
      <c r="V8" s="36">
        <f ca="1">'SC-Retro'!P66</f>
        <v>0.31409104868950211</v>
      </c>
      <c r="W8" s="36">
        <f ca="1">'SC-Retro'!Q66</f>
        <v>0.29561972951721849</v>
      </c>
      <c r="X8" s="36">
        <f ca="1">'SC-Retro'!R66</f>
        <v>0.2782346865485642</v>
      </c>
      <c r="Y8" s="36">
        <f ca="1">'SC-Retro'!S66</f>
        <v>0.26187203717831953</v>
      </c>
      <c r="Z8" s="36">
        <f ca="1">'SC-Retro'!T66</f>
        <v>0.24647165566092452</v>
      </c>
      <c r="AA8" s="36">
        <f ca="1">'SC-Retro'!U66</f>
        <v>0.23197695217405581</v>
      </c>
      <c r="AB8" s="36">
        <f ca="1">'SC-Retro'!V66</f>
        <v>0.21833466487520081</v>
      </c>
      <c r="AC8" s="36">
        <f ca="1">'SC-Retro'!W66</f>
        <v>0.20549466418715134</v>
      </c>
      <c r="AD8" s="36">
        <f ca="1">'SC-Retro'!X66</f>
        <v>0.19340976859321679</v>
      </c>
      <c r="AE8" s="36">
        <f ca="1">'SC-Retro'!Y66</f>
        <v>8.9993338766868902</v>
      </c>
      <c r="AF8" s="161">
        <f t="shared" si="4"/>
        <v>82.449551176969933</v>
      </c>
      <c r="AG8" s="161">
        <f t="shared" si="4"/>
        <v>72.865580486225937</v>
      </c>
      <c r="AH8" s="161">
        <f t="shared" si="4"/>
        <v>80.009075421388729</v>
      </c>
      <c r="AI8" s="161">
        <f t="shared" si="4"/>
        <v>66.533817541653065</v>
      </c>
      <c r="AJ8" s="161">
        <f t="shared" si="4"/>
        <v>64.560736592052805</v>
      </c>
      <c r="AK8" s="161">
        <f t="shared" si="4"/>
        <v>57.976492806336587</v>
      </c>
      <c r="AL8" s="161">
        <f t="shared" si="4"/>
        <v>50.251725635139969</v>
      </c>
      <c r="AM8" s="161">
        <f t="shared" si="4"/>
        <v>54.373115673885124</v>
      </c>
      <c r="AN8" s="161">
        <f t="shared" si="4"/>
        <v>49.19761864223517</v>
      </c>
      <c r="AO8" s="161">
        <f t="shared" si="4"/>
        <v>64.984681729757654</v>
      </c>
      <c r="AP8" s="161">
        <f t="shared" si="5"/>
        <v>64.080154155765229</v>
      </c>
      <c r="AQ8" s="161">
        <f t="shared" si="5"/>
        <v>78.606763741350548</v>
      </c>
      <c r="AR8" s="161">
        <f t="shared" si="5"/>
        <v>0</v>
      </c>
      <c r="AS8" s="161">
        <f t="shared" si="5"/>
        <v>48.081384769018996</v>
      </c>
      <c r="AT8" s="161">
        <f t="shared" si="5"/>
        <v>40.879378066767813</v>
      </c>
      <c r="AU8" s="161">
        <f t="shared" si="5"/>
        <v>38.253319027432831</v>
      </c>
      <c r="AV8" s="161">
        <f t="shared" si="5"/>
        <v>35.597711411358574</v>
      </c>
      <c r="AW8" s="161">
        <f t="shared" si="5"/>
        <v>34.267546890423212</v>
      </c>
      <c r="AX8" s="161">
        <f t="shared" si="5"/>
        <v>26.88748298906653</v>
      </c>
      <c r="AY8" s="161">
        <f t="shared" si="5"/>
        <v>28.437110788750008</v>
      </c>
      <c r="AZ8" s="161">
        <f t="shared" si="5"/>
        <v>24.85406842566778</v>
      </c>
      <c r="BA8" s="161">
        <f t="shared" si="5"/>
        <v>28.453335599334004</v>
      </c>
      <c r="BB8" s="161">
        <f t="shared" si="5"/>
        <v>29.78807051916997</v>
      </c>
      <c r="BC8" s="161">
        <f t="shared" si="5"/>
        <v>37.860502795312875</v>
      </c>
      <c r="BD8" s="161">
        <f t="shared" si="5"/>
        <v>44.722974204267445</v>
      </c>
    </row>
    <row r="9" spans="1:56" ht="15">
      <c r="A9" s="61" t="str">
        <f>VLOOKUP(CONCATENATE($C9," - ",$B9),[2]ACHIEV!$B$12:$C$78,2,FALSE)</f>
        <v>RetroMax60</v>
      </c>
      <c r="B9" s="61" t="str">
        <f>'SC-Retro'!$C$7</f>
        <v>Retro</v>
      </c>
      <c r="C9" s="61" t="str">
        <f>'SC-Retro'!$C$8</f>
        <v>Solar Water Heater</v>
      </c>
      <c r="D9" s="61" t="s">
        <v>522</v>
      </c>
      <c r="E9" s="61" t="str">
        <f>'SC-Retro'!$A$9</f>
        <v>Water Heating</v>
      </c>
      <c r="F9" s="160">
        <f t="shared" si="1"/>
        <v>0.21623072143333863</v>
      </c>
      <c r="G9" s="63">
        <f>'SC-Retro'!A67</f>
        <v>1294.2701140210308</v>
      </c>
      <c r="H9" s="63">
        <f>'SC-Retro'!B67</f>
        <v>623.57584898587277</v>
      </c>
      <c r="I9" s="9" t="str">
        <f>'SC-Retro'!C67</f>
        <v>Multifamily - Low Rise</v>
      </c>
      <c r="J9" s="9" t="str">
        <f>'SC-Retro'!D67</f>
        <v>SHW Solar Zone 3</v>
      </c>
      <c r="K9" s="36">
        <f ca="1">'SC-Retro'!E67</f>
        <v>6.5056382877374627E-2</v>
      </c>
      <c r="L9" s="36">
        <f ca="1">'SC-Retro'!F67</f>
        <v>0.12851913033517331</v>
      </c>
      <c r="M9" s="36">
        <f ca="1">'SC-Retro'!G67</f>
        <v>0.18849411160332163</v>
      </c>
      <c r="N9" s="36">
        <f ca="1">'SC-Retro'!H67</f>
        <v>0.24323212472391934</v>
      </c>
      <c r="O9" s="36">
        <f ca="1">'SC-Retro'!I67</f>
        <v>0.2912157466595271</v>
      </c>
      <c r="P9" s="36">
        <f ca="1">'SC-Retro'!J67</f>
        <v>0.31283028982646405</v>
      </c>
      <c r="Q9" s="36">
        <f ca="1">'SC-Retro'!K67</f>
        <v>0.29443311437605862</v>
      </c>
      <c r="R9" s="36">
        <f ca="1">'SC-Retro'!L67</f>
        <v>0.27711785482561507</v>
      </c>
      <c r="S9" s="36">
        <f ca="1">'SC-Retro'!M67</f>
        <v>0.26082088499416112</v>
      </c>
      <c r="T9" s="36">
        <f ca="1">'SC-Retro'!N67</f>
        <v>0.24548232048038138</v>
      </c>
      <c r="U9" s="36">
        <f ca="1">'SC-Retro'!O67</f>
        <v>0.23104579861302796</v>
      </c>
      <c r="V9" s="36">
        <f ca="1">'SC-Retro'!P67</f>
        <v>0.21745827134218454</v>
      </c>
      <c r="W9" s="36">
        <f ca="1">'SC-Retro'!Q67</f>
        <v>0.20466981031034748</v>
      </c>
      <c r="X9" s="36">
        <f ca="1">'SC-Retro'!R67</f>
        <v>0.19263342338704348</v>
      </c>
      <c r="Y9" s="36">
        <f ca="1">'SC-Retro'!S67</f>
        <v>0.18130488199282757</v>
      </c>
      <c r="Z9" s="36">
        <f ca="1">'SC-Retro'!T67</f>
        <v>0.17064255857814958</v>
      </c>
      <c r="AA9" s="36">
        <f ca="1">'SC-Retro'!U67</f>
        <v>0.16060727365989669</v>
      </c>
      <c r="AB9" s="36">
        <f ca="1">'SC-Retro'!V67</f>
        <v>0.15116215185352791</v>
      </c>
      <c r="AC9" s="36">
        <f ca="1">'SC-Retro'!W67</f>
        <v>0.14227248637179707</v>
      </c>
      <c r="AD9" s="36">
        <f ca="1">'SC-Retro'!X67</f>
        <v>0.13390561149213226</v>
      </c>
      <c r="AE9" s="36">
        <f ca="1">'SC-Retro'!Y67</f>
        <v>6.23061241707045</v>
      </c>
      <c r="AF9" s="161">
        <f t="shared" si="4"/>
        <v>88.633267515242679</v>
      </c>
      <c r="AG9" s="161">
        <f t="shared" si="4"/>
        <v>78.330499022692891</v>
      </c>
      <c r="AH9" s="161">
        <f t="shared" si="4"/>
        <v>86.00975607799289</v>
      </c>
      <c r="AI9" s="161">
        <f t="shared" si="4"/>
        <v>71.523853857277047</v>
      </c>
      <c r="AJ9" s="161">
        <f t="shared" si="4"/>
        <v>69.402791836456757</v>
      </c>
      <c r="AK9" s="161">
        <f t="shared" si="4"/>
        <v>62.324729766811828</v>
      </c>
      <c r="AL9" s="161">
        <f t="shared" si="4"/>
        <v>54.02060505777547</v>
      </c>
      <c r="AM9" s="161">
        <f t="shared" si="4"/>
        <v>58.451099349426507</v>
      </c>
      <c r="AN9" s="161">
        <f t="shared" si="4"/>
        <v>52.887440040402808</v>
      </c>
      <c r="AO9" s="161">
        <f t="shared" si="4"/>
        <v>69.858532859489486</v>
      </c>
      <c r="AP9" s="161">
        <f t="shared" si="5"/>
        <v>68.886165717447611</v>
      </c>
      <c r="AQ9" s="161">
        <f t="shared" si="5"/>
        <v>84.502271021951842</v>
      </c>
      <c r="AR9" s="161">
        <f t="shared" si="5"/>
        <v>0</v>
      </c>
      <c r="AS9" s="161">
        <f t="shared" si="5"/>
        <v>51.687488626695419</v>
      </c>
      <c r="AT9" s="161">
        <f t="shared" si="5"/>
        <v>43.9453314217754</v>
      </c>
      <c r="AU9" s="161">
        <f t="shared" si="5"/>
        <v>41.122317954490292</v>
      </c>
      <c r="AV9" s="161">
        <f t="shared" si="5"/>
        <v>38.267539767210465</v>
      </c>
      <c r="AW9" s="161">
        <f t="shared" si="5"/>
        <v>36.837612907204949</v>
      </c>
      <c r="AX9" s="161">
        <f t="shared" si="5"/>
        <v>28.904044213246522</v>
      </c>
      <c r="AY9" s="161">
        <f t="shared" si="5"/>
        <v>30.569894097906257</v>
      </c>
      <c r="AZ9" s="161">
        <f t="shared" si="5"/>
        <v>26.718123557592861</v>
      </c>
      <c r="BA9" s="161">
        <f t="shared" si="5"/>
        <v>30.587335769284053</v>
      </c>
      <c r="BB9" s="161">
        <f t="shared" si="5"/>
        <v>32.022175808107718</v>
      </c>
      <c r="BC9" s="161">
        <f t="shared" si="5"/>
        <v>40.700040504961343</v>
      </c>
      <c r="BD9" s="161">
        <f t="shared" si="5"/>
        <v>48.077197269587501</v>
      </c>
    </row>
    <row r="10" spans="1:56" ht="15">
      <c r="A10" s="61" t="str">
        <f>VLOOKUP(CONCATENATE($C10," - ",$B10),[2]ACHIEV!$B$12:$C$78,2,FALSE)</f>
        <v>RetroMax60</v>
      </c>
      <c r="B10" s="61" t="str">
        <f>'SC-Retro'!$C$7</f>
        <v>Retro</v>
      </c>
      <c r="C10" s="61" t="str">
        <f>'SC-Retro'!$C$8</f>
        <v>Solar Water Heater</v>
      </c>
      <c r="D10" s="61" t="s">
        <v>522</v>
      </c>
      <c r="E10" s="61" t="str">
        <f>'SC-Retro'!$A$9</f>
        <v>Water Heating</v>
      </c>
      <c r="F10" s="160">
        <f t="shared" si="1"/>
        <v>0.25143107143411469</v>
      </c>
      <c r="G10" s="63">
        <f>'SC-Retro'!A68</f>
        <v>1504.9652488616637</v>
      </c>
      <c r="H10" s="63">
        <f>'SC-Retro'!B68</f>
        <v>534.94726319905465</v>
      </c>
      <c r="I10" s="9" t="str">
        <f>'SC-Retro'!C68</f>
        <v>Multifamily - Low Rise</v>
      </c>
      <c r="J10" s="9" t="str">
        <f>'SC-Retro'!D68</f>
        <v>SHW Solar Zone 4</v>
      </c>
      <c r="K10" s="36">
        <f ca="1">'SC-Retro'!E68</f>
        <v>2.0930620507602558E-2</v>
      </c>
      <c r="L10" s="36">
        <f ca="1">'SC-Retro'!F68</f>
        <v>4.1348519945890658E-2</v>
      </c>
      <c r="M10" s="36">
        <f ca="1">'SC-Retro'!G68</f>
        <v>6.0644298735811036E-2</v>
      </c>
      <c r="N10" s="36">
        <f ca="1">'SC-Retro'!H68</f>
        <v>7.8255185312873607E-2</v>
      </c>
      <c r="O10" s="36">
        <f ca="1">'SC-Retro'!I68</f>
        <v>9.3692978453133888E-2</v>
      </c>
      <c r="P10" s="36">
        <f ca="1">'SC-Retro'!J68</f>
        <v>0.1006470355412</v>
      </c>
      <c r="Q10" s="36">
        <f ca="1">'SC-Retro'!K68</f>
        <v>9.4728103674206574E-2</v>
      </c>
      <c r="R10" s="36">
        <f ca="1">'SC-Retro'!L68</f>
        <v>8.9157257116012564E-2</v>
      </c>
      <c r="S10" s="36">
        <f ca="1">'SC-Retro'!M68</f>
        <v>8.3914025385638566E-2</v>
      </c>
      <c r="T10" s="36">
        <f ca="1">'SC-Retro'!N68</f>
        <v>7.8979141846625273E-2</v>
      </c>
      <c r="U10" s="36">
        <f ca="1">'SC-Retro'!O68</f>
        <v>7.4334472910376009E-2</v>
      </c>
      <c r="V10" s="36">
        <f ca="1">'SC-Retro'!P68</f>
        <v>6.9962951402966281E-2</v>
      </c>
      <c r="W10" s="36">
        <f ca="1">'SC-Retro'!Q68</f>
        <v>6.5848513850571472E-2</v>
      </c>
      <c r="X10" s="36">
        <f ca="1">'SC-Retro'!R68</f>
        <v>6.1976041453063464E-2</v>
      </c>
      <c r="Y10" s="36">
        <f ca="1">'SC-Retro'!S68</f>
        <v>5.833130452887976E-2</v>
      </c>
      <c r="Z10" s="36">
        <f ca="1">'SC-Retro'!T68</f>
        <v>5.490091022702312E-2</v>
      </c>
      <c r="AA10" s="36">
        <f ca="1">'SC-Retro'!U68</f>
        <v>5.167225331405681E-2</v>
      </c>
      <c r="AB10" s="36">
        <f ca="1">'SC-Retro'!V68</f>
        <v>4.8633469855255865E-2</v>
      </c>
      <c r="AC10" s="36">
        <f ca="1">'SC-Retro'!W68</f>
        <v>4.5773393619717849E-2</v>
      </c>
      <c r="AD10" s="36">
        <f ca="1">'SC-Retro'!X68</f>
        <v>4.3081515049233077E-2</v>
      </c>
      <c r="AE10" s="36">
        <f ca="1">'SC-Retro'!Y68</f>
        <v>2.0045778486865768</v>
      </c>
      <c r="AF10" s="161">
        <f t="shared" si="4"/>
        <v>103.06193897121241</v>
      </c>
      <c r="AG10" s="161">
        <f t="shared" si="4"/>
        <v>91.081975607782425</v>
      </c>
      <c r="AH10" s="161">
        <f t="shared" si="4"/>
        <v>100.01134427673591</v>
      </c>
      <c r="AI10" s="161">
        <f t="shared" si="4"/>
        <v>83.167271927066338</v>
      </c>
      <c r="AJ10" s="161">
        <f t="shared" si="4"/>
        <v>80.700920740065996</v>
      </c>
      <c r="AK10" s="161">
        <f t="shared" si="4"/>
        <v>72.470616007920739</v>
      </c>
      <c r="AL10" s="161">
        <f t="shared" si="4"/>
        <v>62.81465704392496</v>
      </c>
      <c r="AM10" s="161">
        <f t="shared" si="4"/>
        <v>67.966394592356409</v>
      </c>
      <c r="AN10" s="161">
        <f t="shared" si="4"/>
        <v>61.497023302793963</v>
      </c>
      <c r="AO10" s="161">
        <f t="shared" si="4"/>
        <v>81.230852162197081</v>
      </c>
      <c r="AP10" s="161">
        <f t="shared" si="5"/>
        <v>80.100192694706521</v>
      </c>
      <c r="AQ10" s="161">
        <f t="shared" si="5"/>
        <v>98.258454676688189</v>
      </c>
      <c r="AR10" s="161">
        <f t="shared" si="5"/>
        <v>0</v>
      </c>
      <c r="AS10" s="161">
        <f t="shared" si="5"/>
        <v>60.101730961273745</v>
      </c>
      <c r="AT10" s="161">
        <f t="shared" si="5"/>
        <v>51.099222583459763</v>
      </c>
      <c r="AU10" s="161">
        <f t="shared" si="5"/>
        <v>47.81664878429104</v>
      </c>
      <c r="AV10" s="161">
        <f t="shared" si="5"/>
        <v>44.497139264198211</v>
      </c>
      <c r="AW10" s="161">
        <f t="shared" si="5"/>
        <v>42.834433613029013</v>
      </c>
      <c r="AX10" s="161">
        <f t="shared" si="5"/>
        <v>33.609353736333162</v>
      </c>
      <c r="AY10" s="161">
        <f t="shared" si="5"/>
        <v>35.546388485937513</v>
      </c>
      <c r="AZ10" s="161">
        <f t="shared" si="5"/>
        <v>31.067585532084724</v>
      </c>
      <c r="BA10" s="161">
        <f t="shared" si="5"/>
        <v>35.566669499167503</v>
      </c>
      <c r="BB10" s="161">
        <f t="shared" si="5"/>
        <v>37.235088148962461</v>
      </c>
      <c r="BC10" s="161">
        <f t="shared" si="5"/>
        <v>47.325628494141093</v>
      </c>
      <c r="BD10" s="161">
        <f t="shared" si="5"/>
        <v>55.903717755334299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46"/>
  <sheetViews>
    <sheetView workbookViewId="0">
      <selection activeCell="D11" sqref="D11"/>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48" t="s">
        <v>54</v>
      </c>
      <c r="B1" s="194" t="s">
        <v>726</v>
      </c>
      <c r="C1" s="194"/>
      <c r="D1" s="194"/>
      <c r="E1" s="194"/>
      <c r="F1" s="194"/>
      <c r="G1" s="194"/>
      <c r="H1" s="194"/>
      <c r="I1" s="194"/>
      <c r="J1" s="194"/>
      <c r="K1" s="194"/>
      <c r="L1" s="194"/>
      <c r="M1" s="194"/>
      <c r="N1" s="194"/>
      <c r="O1" s="194"/>
      <c r="P1" s="194"/>
      <c r="Q1" s="194"/>
      <c r="R1" s="194"/>
      <c r="S1" s="194"/>
      <c r="T1" s="194"/>
    </row>
    <row r="2" spans="1:69">
      <c r="A2" s="49" t="s">
        <v>148</v>
      </c>
      <c r="B2" s="194"/>
      <c r="C2" s="194"/>
      <c r="D2" s="194"/>
      <c r="E2" s="194"/>
      <c r="F2" s="194"/>
      <c r="G2" s="194"/>
      <c r="H2" s="194"/>
      <c r="I2" s="194"/>
      <c r="J2" s="194"/>
      <c r="K2" s="194"/>
      <c r="L2" s="194"/>
      <c r="M2" s="194"/>
      <c r="N2" s="194"/>
      <c r="O2" s="194"/>
      <c r="P2" s="194"/>
      <c r="Q2" s="194"/>
      <c r="R2" s="194"/>
      <c r="S2" s="194"/>
      <c r="T2" s="194"/>
    </row>
    <row r="3" spans="1:69">
      <c r="B3" s="194"/>
      <c r="C3" s="194"/>
      <c r="D3" s="194"/>
      <c r="E3" s="194"/>
      <c r="F3" s="194"/>
      <c r="G3" s="194"/>
      <c r="H3" s="194"/>
      <c r="I3" s="194"/>
      <c r="J3" s="194"/>
      <c r="K3" s="194"/>
      <c r="L3" s="194"/>
      <c r="M3" s="194"/>
      <c r="N3" s="194"/>
      <c r="O3" s="194"/>
      <c r="P3" s="194"/>
      <c r="Q3" s="194"/>
      <c r="R3" s="194"/>
      <c r="S3" s="194"/>
      <c r="T3" s="194"/>
    </row>
    <row r="4" spans="1:69">
      <c r="B4" s="194"/>
      <c r="C4" s="194"/>
      <c r="D4" s="194"/>
      <c r="E4" s="194"/>
      <c r="F4" s="194"/>
      <c r="G4" s="194"/>
      <c r="H4" s="194"/>
      <c r="I4" s="194"/>
      <c r="J4" s="194"/>
      <c r="K4" s="194"/>
      <c r="L4" s="194"/>
      <c r="M4" s="194"/>
      <c r="N4" s="194"/>
      <c r="O4" s="194"/>
      <c r="P4" s="194"/>
      <c r="Q4" s="194"/>
      <c r="R4" s="194"/>
      <c r="S4" s="194"/>
      <c r="T4" s="194"/>
    </row>
    <row r="5" spans="1:69">
      <c r="B5" s="194"/>
      <c r="C5" s="194"/>
      <c r="D5" s="194"/>
      <c r="E5" s="194"/>
      <c r="F5" s="194"/>
      <c r="G5" s="194"/>
      <c r="H5" s="194"/>
      <c r="I5" s="194"/>
      <c r="J5" s="194"/>
      <c r="K5" s="194"/>
      <c r="L5" s="194"/>
      <c r="M5" s="194"/>
      <c r="N5" s="194"/>
      <c r="O5" s="194"/>
      <c r="P5" s="194"/>
      <c r="Q5" s="194"/>
      <c r="R5" s="194"/>
      <c r="S5" s="194"/>
      <c r="T5" s="194"/>
    </row>
    <row r="6" spans="1:69">
      <c r="B6" s="194"/>
      <c r="C6" s="194"/>
      <c r="D6" s="194"/>
      <c r="E6" s="194"/>
      <c r="F6" s="194"/>
      <c r="G6" s="194"/>
      <c r="H6" s="194"/>
      <c r="I6" s="194"/>
      <c r="J6" s="194"/>
      <c r="K6" s="194"/>
      <c r="L6" s="194"/>
      <c r="M6" s="194"/>
      <c r="N6" s="194"/>
      <c r="O6" s="194"/>
      <c r="P6" s="194"/>
      <c r="Q6" s="194"/>
      <c r="R6" s="194"/>
      <c r="S6" s="194"/>
      <c r="T6" s="194"/>
    </row>
    <row r="7" spans="1:69">
      <c r="A7" s="158"/>
      <c r="B7" s="158" t="s">
        <v>47</v>
      </c>
      <c r="C7" s="59" t="s">
        <v>53</v>
      </c>
      <c r="D7" s="59" t="s">
        <v>53</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58" t="s">
        <v>514</v>
      </c>
      <c r="B8" s="158" t="s">
        <v>56</v>
      </c>
      <c r="C8" s="59" t="str">
        <f>[2]MLIST!$B$28</f>
        <v>Solar Water Heater</v>
      </c>
      <c r="D8" s="59"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58" t="str">
        <f>INDEX([2]ACHIEV!$A$19:$B$100,MATCH(CONCATENATE($C$8," - ",$C$7),[2]ACHIEV!$B$19:$B$100,0),1)</f>
        <v>Water Heating</v>
      </c>
      <c r="B9" s="159" t="s">
        <v>57</v>
      </c>
      <c r="C9" s="59">
        <f>[2]FILES!$H$4</f>
        <v>2035</v>
      </c>
      <c r="D9" s="59"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58"/>
      <c r="B10" s="158" t="s">
        <v>729</v>
      </c>
      <c r="C10" s="193">
        <f>MIN(SUM(E54:X54),Y54)</f>
        <v>0</v>
      </c>
      <c r="D10" s="60"/>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61" t="str">
        <f>CONCATENATE("# HOMES AVAILABLE FOR MEASURE -",$C$8)</f>
        <v># HOMES AVAILABLE FOR MEASURE -Solar Water Heater</v>
      </c>
      <c r="C11" s="9" t="s">
        <v>137</v>
      </c>
      <c r="E11" s="64">
        <v>2016</v>
      </c>
      <c r="F11" s="65">
        <v>2017</v>
      </c>
      <c r="G11" s="65">
        <v>2018</v>
      </c>
      <c r="H11" s="65">
        <v>2019</v>
      </c>
      <c r="I11" s="65">
        <v>2020</v>
      </c>
      <c r="J11" s="65">
        <v>2021</v>
      </c>
      <c r="K11" s="65">
        <v>2022</v>
      </c>
      <c r="L11" s="65">
        <v>2023</v>
      </c>
      <c r="M11" s="65">
        <v>2024</v>
      </c>
      <c r="N11" s="65">
        <v>2025</v>
      </c>
      <c r="O11" s="65">
        <v>2026</v>
      </c>
      <c r="P11" s="65">
        <v>2027</v>
      </c>
      <c r="Q11" s="65">
        <v>2028</v>
      </c>
      <c r="R11" s="65">
        <v>2029</v>
      </c>
      <c r="S11" s="65">
        <v>2030</v>
      </c>
      <c r="T11" s="65">
        <v>2031</v>
      </c>
      <c r="U11" s="65">
        <v>2032</v>
      </c>
      <c r="V11" s="65">
        <v>2033</v>
      </c>
      <c r="W11" s="65">
        <v>2034</v>
      </c>
      <c r="X11" s="65">
        <v>2035</v>
      </c>
      <c r="Y11" s="66"/>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7" t="str">
        <f>CONCATENATE("Homes_",E11)</f>
        <v>Homes_2016</v>
      </c>
      <c r="F12" s="68" t="str">
        <f t="shared" ref="F12:X12" si="0">CONCATENATE("Homes_",F11)</f>
        <v>Homes_2017</v>
      </c>
      <c r="G12" s="68" t="str">
        <f t="shared" si="0"/>
        <v>Homes_2018</v>
      </c>
      <c r="H12" s="68" t="str">
        <f t="shared" si="0"/>
        <v>Homes_2019</v>
      </c>
      <c r="I12" s="68" t="str">
        <f t="shared" si="0"/>
        <v>Homes_2020</v>
      </c>
      <c r="J12" s="68" t="str">
        <f t="shared" si="0"/>
        <v>Homes_2021</v>
      </c>
      <c r="K12" s="68" t="str">
        <f t="shared" si="0"/>
        <v>Homes_2022</v>
      </c>
      <c r="L12" s="68" t="str">
        <f t="shared" si="0"/>
        <v>Homes_2023</v>
      </c>
      <c r="M12" s="68" t="str">
        <f t="shared" si="0"/>
        <v>Homes_2024</v>
      </c>
      <c r="N12" s="68" t="str">
        <f t="shared" si="0"/>
        <v>Homes_2025</v>
      </c>
      <c r="O12" s="68" t="str">
        <f t="shared" si="0"/>
        <v>Homes_2026</v>
      </c>
      <c r="P12" s="68" t="str">
        <f t="shared" si="0"/>
        <v>Homes_2027</v>
      </c>
      <c r="Q12" s="68" t="str">
        <f t="shared" si="0"/>
        <v>Homes_2028</v>
      </c>
      <c r="R12" s="68" t="str">
        <f t="shared" si="0"/>
        <v>Homes_2029</v>
      </c>
      <c r="S12" s="68" t="str">
        <f t="shared" si="0"/>
        <v>Homes_2030</v>
      </c>
      <c r="T12" s="68" t="str">
        <f t="shared" si="0"/>
        <v>Homes_2031</v>
      </c>
      <c r="U12" s="68" t="str">
        <f t="shared" si="0"/>
        <v>Homes_2032</v>
      </c>
      <c r="V12" s="68" t="str">
        <f t="shared" si="0"/>
        <v>Homes_2033</v>
      </c>
      <c r="W12" s="68" t="str">
        <f t="shared" si="0"/>
        <v>Homes_2034</v>
      </c>
      <c r="X12" s="68" t="str">
        <f t="shared" si="0"/>
        <v>Homes_2035</v>
      </c>
      <c r="Y12" s="69"/>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53</v>
      </c>
      <c r="C13" s="9" t="s">
        <v>48</v>
      </c>
      <c r="E13" s="41"/>
      <c r="F13" s="41"/>
      <c r="G13" s="41"/>
      <c r="H13" s="41"/>
      <c r="I13" s="41"/>
      <c r="J13" s="41"/>
      <c r="K13" s="41"/>
      <c r="L13" s="41"/>
      <c r="M13" s="41"/>
      <c r="N13" s="41"/>
      <c r="O13" s="41"/>
      <c r="P13" s="41"/>
      <c r="Q13" s="41"/>
      <c r="R13" s="41"/>
      <c r="S13" s="41"/>
      <c r="T13" s="41"/>
      <c r="U13" s="41"/>
      <c r="V13" s="41"/>
      <c r="W13" s="41"/>
      <c r="X13" s="41"/>
      <c r="Y13" s="41"/>
      <c r="AA13" s="41">
        <f>SUM(E13:Y13)</f>
        <v>0</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53</v>
      </c>
      <c r="C14" s="9" t="s">
        <v>49</v>
      </c>
      <c r="E14" s="41"/>
      <c r="F14" s="41"/>
      <c r="G14" s="41"/>
      <c r="H14" s="41"/>
      <c r="I14" s="41"/>
      <c r="J14" s="41"/>
      <c r="K14" s="41"/>
      <c r="L14" s="41"/>
      <c r="M14" s="41"/>
      <c r="N14" s="41"/>
      <c r="O14" s="41"/>
      <c r="P14" s="41"/>
      <c r="Q14" s="41"/>
      <c r="R14" s="41"/>
      <c r="S14" s="41"/>
      <c r="T14" s="41"/>
      <c r="U14" s="41"/>
      <c r="V14" s="41"/>
      <c r="W14" s="41"/>
      <c r="X14" s="41"/>
      <c r="Y14" s="41"/>
      <c r="AA14" s="41">
        <f t="shared" ref="AA14:AA16" si="1">SUM(E14:Y14)</f>
        <v>0</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53</v>
      </c>
      <c r="C15" s="9" t="s">
        <v>50</v>
      </c>
      <c r="E15" s="41"/>
      <c r="F15" s="41"/>
      <c r="G15" s="41"/>
      <c r="H15" s="41"/>
      <c r="I15" s="41"/>
      <c r="J15" s="41"/>
      <c r="K15" s="41"/>
      <c r="L15" s="41"/>
      <c r="M15" s="41"/>
      <c r="N15" s="41"/>
      <c r="O15" s="41"/>
      <c r="P15" s="41"/>
      <c r="Q15" s="41"/>
      <c r="R15" s="41"/>
      <c r="S15" s="41"/>
      <c r="T15" s="41"/>
      <c r="U15" s="41"/>
      <c r="V15" s="41"/>
      <c r="W15" s="41"/>
      <c r="X15" s="41"/>
      <c r="Y15" s="41"/>
      <c r="AA15" s="41">
        <f t="shared" si="1"/>
        <v>0</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53</v>
      </c>
      <c r="C16" s="9" t="s">
        <v>51</v>
      </c>
      <c r="E16" s="41"/>
      <c r="F16" s="41"/>
      <c r="G16" s="41"/>
      <c r="H16" s="41"/>
      <c r="I16" s="41"/>
      <c r="J16" s="41"/>
      <c r="K16" s="41"/>
      <c r="L16" s="41"/>
      <c r="M16" s="41"/>
      <c r="N16" s="41"/>
      <c r="O16" s="41"/>
      <c r="P16" s="41"/>
      <c r="Q16" s="41"/>
      <c r="R16" s="41"/>
      <c r="S16" s="41"/>
      <c r="T16" s="41"/>
      <c r="U16" s="41"/>
      <c r="V16" s="41"/>
      <c r="W16" s="41"/>
      <c r="X16" s="41"/>
      <c r="Y16" s="41"/>
      <c r="AA16" s="41">
        <f t="shared" si="1"/>
        <v>0</v>
      </c>
    </row>
    <row r="17" spans="1:27">
      <c r="E17" s="41"/>
      <c r="F17" s="41"/>
      <c r="G17" s="41"/>
      <c r="H17" s="41"/>
      <c r="I17" s="41"/>
      <c r="J17" s="41"/>
      <c r="K17" s="41"/>
      <c r="L17" s="41"/>
      <c r="M17" s="41"/>
      <c r="N17" s="41"/>
      <c r="O17" s="41"/>
      <c r="P17" s="41"/>
      <c r="Q17" s="41"/>
      <c r="R17" s="41"/>
      <c r="S17" s="41"/>
      <c r="T17" s="41"/>
      <c r="U17" s="41"/>
      <c r="V17" s="41"/>
      <c r="W17" s="41"/>
      <c r="X17" s="41"/>
      <c r="Y17" s="41"/>
    </row>
    <row r="18" spans="1:27">
      <c r="B18" s="9" t="s">
        <v>138</v>
      </c>
      <c r="C18" s="9" t="s">
        <v>59</v>
      </c>
      <c r="E18" s="41">
        <f>SUM(E13:E16)</f>
        <v>0</v>
      </c>
      <c r="F18" s="41">
        <f t="shared" ref="F18:X18" si="2">SUM(F13:F16)</f>
        <v>0</v>
      </c>
      <c r="G18" s="41">
        <f t="shared" si="2"/>
        <v>0</v>
      </c>
      <c r="H18" s="41">
        <f t="shared" si="2"/>
        <v>0</v>
      </c>
      <c r="I18" s="41">
        <f t="shared" si="2"/>
        <v>0</v>
      </c>
      <c r="J18" s="41">
        <f t="shared" si="2"/>
        <v>0</v>
      </c>
      <c r="K18" s="41">
        <f t="shared" si="2"/>
        <v>0</v>
      </c>
      <c r="L18" s="41">
        <f t="shared" si="2"/>
        <v>0</v>
      </c>
      <c r="M18" s="41">
        <f t="shared" si="2"/>
        <v>0</v>
      </c>
      <c r="N18" s="41">
        <f t="shared" si="2"/>
        <v>0</v>
      </c>
      <c r="O18" s="41">
        <f t="shared" si="2"/>
        <v>0</v>
      </c>
      <c r="P18" s="41">
        <f t="shared" si="2"/>
        <v>0</v>
      </c>
      <c r="Q18" s="41">
        <f t="shared" si="2"/>
        <v>0</v>
      </c>
      <c r="R18" s="41">
        <f t="shared" si="2"/>
        <v>0</v>
      </c>
      <c r="S18" s="41">
        <f t="shared" si="2"/>
        <v>0</v>
      </c>
      <c r="T18" s="41">
        <f t="shared" si="2"/>
        <v>0</v>
      </c>
      <c r="U18" s="41">
        <f t="shared" si="2"/>
        <v>0</v>
      </c>
      <c r="V18" s="41">
        <f t="shared" si="2"/>
        <v>0</v>
      </c>
      <c r="W18" s="41">
        <f t="shared" si="2"/>
        <v>0</v>
      </c>
      <c r="X18" s="41">
        <f t="shared" si="2"/>
        <v>0</v>
      </c>
      <c r="Y18" s="41"/>
      <c r="AA18" s="41">
        <f>SUM(E18:Y18)</f>
        <v>0</v>
      </c>
    </row>
    <row r="19" spans="1:27">
      <c r="E19" s="41"/>
      <c r="F19" s="41"/>
      <c r="G19" s="41"/>
      <c r="H19" s="41"/>
      <c r="I19" s="41"/>
      <c r="J19" s="41"/>
      <c r="K19" s="41"/>
      <c r="L19" s="41"/>
      <c r="M19" s="41"/>
      <c r="N19" s="41"/>
      <c r="O19" s="41"/>
      <c r="P19" s="41"/>
      <c r="Q19" s="41"/>
      <c r="R19" s="41"/>
      <c r="S19" s="41"/>
      <c r="T19" s="41"/>
      <c r="U19" s="41"/>
      <c r="V19" s="41"/>
      <c r="W19" s="41"/>
      <c r="X19" s="41"/>
      <c r="Y19" s="41"/>
    </row>
    <row r="20" spans="1:27">
      <c r="E20" s="41"/>
      <c r="F20" s="41"/>
      <c r="G20" s="41"/>
      <c r="H20" s="41"/>
      <c r="I20" s="41"/>
      <c r="J20" s="41"/>
      <c r="K20" s="41"/>
      <c r="L20" s="41"/>
      <c r="M20" s="41"/>
      <c r="N20" s="41"/>
      <c r="O20" s="41"/>
      <c r="P20" s="41"/>
      <c r="Q20" s="41"/>
      <c r="R20" s="41"/>
      <c r="S20" s="41"/>
      <c r="T20" s="41"/>
      <c r="U20" s="41"/>
      <c r="V20" s="41"/>
      <c r="W20" s="41"/>
      <c r="X20" s="41"/>
      <c r="Y20" s="41"/>
    </row>
    <row r="21" spans="1:27" ht="15">
      <c r="A21" s="61" t="str">
        <f>CONCATENATE("# HOMES APPLICABLE BY YEAR FOR MEASURE - ",C22)</f>
        <v># HOMES APPLICABLE BY YEAR FOR MEASURE - Solar Water Heater - New</v>
      </c>
      <c r="E21" s="41"/>
      <c r="F21" s="41"/>
      <c r="G21" s="41"/>
      <c r="H21" s="41"/>
      <c r="I21" s="41"/>
      <c r="J21" s="41"/>
      <c r="K21" s="41"/>
      <c r="L21" s="41"/>
      <c r="M21" s="41"/>
      <c r="N21" s="41"/>
      <c r="O21" s="41"/>
      <c r="P21" s="41"/>
      <c r="Q21" s="41"/>
      <c r="R21" s="41"/>
      <c r="S21" s="41"/>
      <c r="T21" s="41"/>
      <c r="U21" s="41"/>
      <c r="V21" s="41"/>
      <c r="W21" s="41"/>
      <c r="X21" s="41"/>
      <c r="Y21" s="41"/>
    </row>
    <row r="22" spans="1:27" ht="15">
      <c r="A22" s="70" t="s">
        <v>60</v>
      </c>
      <c r="B22" s="70" t="s">
        <v>150</v>
      </c>
      <c r="C22" s="70" t="str">
        <f>CONCATENATE(C8," - ",C7)</f>
        <v>Solar Water Heater - New</v>
      </c>
      <c r="D22" s="70"/>
      <c r="AA22" s="9" t="s">
        <v>61</v>
      </c>
    </row>
    <row r="23" spans="1:27">
      <c r="A23" s="62">
        <f>INDEX([2]!ResApplic,MATCH($C$22,[2]APPLIC!$B$9:$B$120,0)+1,MATCH($C23,[2]APPLIC!$C$8:$F$8,0)+1)</f>
        <v>0.2475</v>
      </c>
      <c r="B23" s="96">
        <f>VLOOKUP("Electric WH",[2]!NewSat,MATCH($C23,[2]SATS!$B$10:$F$10,0),FALSE)</f>
        <v>0.55200000000000005</v>
      </c>
      <c r="C23" s="9" t="str">
        <f>C13</f>
        <v>Single Family</v>
      </c>
      <c r="E23" s="41">
        <f>E13*$A23*$B23</f>
        <v>0</v>
      </c>
      <c r="F23" s="41">
        <f t="shared" ref="F23:X23" si="3">F13*$A23*$B23</f>
        <v>0</v>
      </c>
      <c r="G23" s="41">
        <f t="shared" si="3"/>
        <v>0</v>
      </c>
      <c r="H23" s="41">
        <f t="shared" si="3"/>
        <v>0</v>
      </c>
      <c r="I23" s="41">
        <f t="shared" si="3"/>
        <v>0</v>
      </c>
      <c r="J23" s="41">
        <f t="shared" si="3"/>
        <v>0</v>
      </c>
      <c r="K23" s="41">
        <f t="shared" si="3"/>
        <v>0</v>
      </c>
      <c r="L23" s="41">
        <f t="shared" si="3"/>
        <v>0</v>
      </c>
      <c r="M23" s="41">
        <f t="shared" si="3"/>
        <v>0</v>
      </c>
      <c r="N23" s="41">
        <f t="shared" si="3"/>
        <v>0</v>
      </c>
      <c r="O23" s="41">
        <f t="shared" si="3"/>
        <v>0</v>
      </c>
      <c r="P23" s="41">
        <f t="shared" si="3"/>
        <v>0</v>
      </c>
      <c r="Q23" s="41">
        <f t="shared" si="3"/>
        <v>0</v>
      </c>
      <c r="R23" s="41">
        <f t="shared" si="3"/>
        <v>0</v>
      </c>
      <c r="S23" s="41">
        <f t="shared" si="3"/>
        <v>0</v>
      </c>
      <c r="T23" s="41">
        <f t="shared" si="3"/>
        <v>0</v>
      </c>
      <c r="U23" s="41">
        <f t="shared" si="3"/>
        <v>0</v>
      </c>
      <c r="V23" s="41">
        <f t="shared" si="3"/>
        <v>0</v>
      </c>
      <c r="W23" s="41">
        <f t="shared" si="3"/>
        <v>0</v>
      </c>
      <c r="X23" s="41">
        <f t="shared" si="3"/>
        <v>0</v>
      </c>
      <c r="Y23" s="41"/>
      <c r="AA23" s="41">
        <f>X23*$AA$32</f>
        <v>0</v>
      </c>
    </row>
    <row r="24" spans="1:27">
      <c r="A24" s="62">
        <f>INDEX([2]!ResApplic,MATCH($C$22,[2]APPLIC!$B$9:$B$120,0)+1,MATCH($C24,[2]APPLIC!$C$8:$F$8,0)+1)</f>
        <v>0.25</v>
      </c>
      <c r="B24" s="96">
        <f>VLOOKUP("Electric WH",[2]!NewSat,MATCH($C24,[2]SATS!$B$10:$F$10,0),FALSE)</f>
        <v>0.94699999999999995</v>
      </c>
      <c r="C24" s="9" t="str">
        <f>C14</f>
        <v>Multifamily - Low Rise</v>
      </c>
      <c r="E24" s="41">
        <f t="shared" ref="E24:X24" si="4">E14*$A24*$B24</f>
        <v>0</v>
      </c>
      <c r="F24" s="41">
        <f t="shared" si="4"/>
        <v>0</v>
      </c>
      <c r="G24" s="41">
        <f t="shared" si="4"/>
        <v>0</v>
      </c>
      <c r="H24" s="41">
        <f t="shared" si="4"/>
        <v>0</v>
      </c>
      <c r="I24" s="41">
        <f t="shared" si="4"/>
        <v>0</v>
      </c>
      <c r="J24" s="41">
        <f t="shared" si="4"/>
        <v>0</v>
      </c>
      <c r="K24" s="41">
        <f t="shared" si="4"/>
        <v>0</v>
      </c>
      <c r="L24" s="41">
        <f t="shared" si="4"/>
        <v>0</v>
      </c>
      <c r="M24" s="41">
        <f t="shared" si="4"/>
        <v>0</v>
      </c>
      <c r="N24" s="41">
        <f t="shared" si="4"/>
        <v>0</v>
      </c>
      <c r="O24" s="41">
        <f t="shared" si="4"/>
        <v>0</v>
      </c>
      <c r="P24" s="41">
        <f t="shared" si="4"/>
        <v>0</v>
      </c>
      <c r="Q24" s="41">
        <f t="shared" si="4"/>
        <v>0</v>
      </c>
      <c r="R24" s="41">
        <f t="shared" si="4"/>
        <v>0</v>
      </c>
      <c r="S24" s="41">
        <f t="shared" si="4"/>
        <v>0</v>
      </c>
      <c r="T24" s="41">
        <f t="shared" si="4"/>
        <v>0</v>
      </c>
      <c r="U24" s="41">
        <f t="shared" si="4"/>
        <v>0</v>
      </c>
      <c r="V24" s="41">
        <f t="shared" si="4"/>
        <v>0</v>
      </c>
      <c r="W24" s="41">
        <f t="shared" si="4"/>
        <v>0</v>
      </c>
      <c r="X24" s="41">
        <f t="shared" si="4"/>
        <v>0</v>
      </c>
      <c r="Y24" s="41"/>
      <c r="AA24" s="41">
        <f t="shared" ref="AA24:AA26" si="5">X24*$AA$32</f>
        <v>0</v>
      </c>
    </row>
    <row r="25" spans="1:27">
      <c r="A25" s="62">
        <f>INDEX([2]!ResApplic,MATCH($C$22,[2]APPLIC!$B$9:$B$120,0)+1,MATCH($C25,[2]APPLIC!$C$8:$F$8,0)+1)</f>
        <v>0</v>
      </c>
      <c r="B25" s="96">
        <f>VLOOKUP("Electric WH",[2]!NewSat,MATCH($C25,[2]SATS!$B$10:$F$10,0),FALSE)</f>
        <v>0.94699999999999995</v>
      </c>
      <c r="C25" s="9" t="str">
        <f>C15</f>
        <v>Multifamily - High Rise</v>
      </c>
      <c r="E25" s="41">
        <f t="shared" ref="E25:X25" si="6">E15*$A25*$B25</f>
        <v>0</v>
      </c>
      <c r="F25" s="41">
        <f t="shared" si="6"/>
        <v>0</v>
      </c>
      <c r="G25" s="41">
        <f t="shared" si="6"/>
        <v>0</v>
      </c>
      <c r="H25" s="41">
        <f t="shared" si="6"/>
        <v>0</v>
      </c>
      <c r="I25" s="41">
        <f t="shared" si="6"/>
        <v>0</v>
      </c>
      <c r="J25" s="41">
        <f t="shared" si="6"/>
        <v>0</v>
      </c>
      <c r="K25" s="41">
        <f t="shared" si="6"/>
        <v>0</v>
      </c>
      <c r="L25" s="41">
        <f t="shared" si="6"/>
        <v>0</v>
      </c>
      <c r="M25" s="41">
        <f t="shared" si="6"/>
        <v>0</v>
      </c>
      <c r="N25" s="41">
        <f t="shared" si="6"/>
        <v>0</v>
      </c>
      <c r="O25" s="41">
        <f t="shared" si="6"/>
        <v>0</v>
      </c>
      <c r="P25" s="41">
        <f t="shared" si="6"/>
        <v>0</v>
      </c>
      <c r="Q25" s="41">
        <f t="shared" si="6"/>
        <v>0</v>
      </c>
      <c r="R25" s="41">
        <f t="shared" si="6"/>
        <v>0</v>
      </c>
      <c r="S25" s="41">
        <f t="shared" si="6"/>
        <v>0</v>
      </c>
      <c r="T25" s="41">
        <f t="shared" si="6"/>
        <v>0</v>
      </c>
      <c r="U25" s="41">
        <f t="shared" si="6"/>
        <v>0</v>
      </c>
      <c r="V25" s="41">
        <f t="shared" si="6"/>
        <v>0</v>
      </c>
      <c r="W25" s="41">
        <f t="shared" si="6"/>
        <v>0</v>
      </c>
      <c r="X25" s="41">
        <f t="shared" si="6"/>
        <v>0</v>
      </c>
      <c r="Y25" s="41"/>
      <c r="AA25" s="41">
        <f t="shared" si="5"/>
        <v>0</v>
      </c>
    </row>
    <row r="26" spans="1:27">
      <c r="A26" s="62">
        <f>INDEX([2]!ResApplic,MATCH($C$22,[2]APPLIC!$B$9:$B$120,0)+1,MATCH($C26,[2]APPLIC!$C$8:$F$8,0)+1)</f>
        <v>0</v>
      </c>
      <c r="B26" s="96">
        <f>VLOOKUP("Electric WH",[2]!NewSat,MATCH($C26,[2]SATS!$B$10:$F$10,0),FALSE)</f>
        <v>0.88900000000000001</v>
      </c>
      <c r="C26" t="s">
        <v>51</v>
      </c>
      <c r="D26"/>
      <c r="E26" s="41">
        <f t="shared" ref="E26:X26" si="7">E16*$A26*$B26</f>
        <v>0</v>
      </c>
      <c r="F26" s="41">
        <f t="shared" si="7"/>
        <v>0</v>
      </c>
      <c r="G26" s="41">
        <f t="shared" si="7"/>
        <v>0</v>
      </c>
      <c r="H26" s="41">
        <f t="shared" si="7"/>
        <v>0</v>
      </c>
      <c r="I26" s="41">
        <f t="shared" si="7"/>
        <v>0</v>
      </c>
      <c r="J26" s="41">
        <f t="shared" si="7"/>
        <v>0</v>
      </c>
      <c r="K26" s="41">
        <f t="shared" si="7"/>
        <v>0</v>
      </c>
      <c r="L26" s="41">
        <f t="shared" si="7"/>
        <v>0</v>
      </c>
      <c r="M26" s="41">
        <f t="shared" si="7"/>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c r="AA26" s="41">
        <f t="shared" si="5"/>
        <v>0</v>
      </c>
    </row>
    <row r="27" spans="1:27">
      <c r="E27" s="41"/>
      <c r="F27" s="41"/>
      <c r="G27" s="41"/>
      <c r="H27" s="41"/>
      <c r="I27" s="41"/>
      <c r="J27" s="41"/>
      <c r="K27" s="41"/>
      <c r="L27" s="41"/>
      <c r="M27" s="41"/>
      <c r="N27" s="41"/>
      <c r="O27" s="41"/>
      <c r="P27" s="41"/>
      <c r="Q27" s="41"/>
      <c r="R27" s="41"/>
      <c r="S27" s="41"/>
      <c r="T27" s="41"/>
      <c r="U27" s="41"/>
      <c r="V27" s="41"/>
      <c r="W27" s="41"/>
      <c r="X27" s="41"/>
      <c r="Y27" s="41"/>
    </row>
    <row r="28" spans="1:27">
      <c r="E28" s="41">
        <f t="shared" ref="E28:X28" si="8">SUM(E23:E26)</f>
        <v>0</v>
      </c>
      <c r="F28" s="41">
        <f t="shared" si="8"/>
        <v>0</v>
      </c>
      <c r="G28" s="41">
        <f t="shared" si="8"/>
        <v>0</v>
      </c>
      <c r="H28" s="41">
        <f t="shared" si="8"/>
        <v>0</v>
      </c>
      <c r="I28" s="41">
        <f t="shared" si="8"/>
        <v>0</v>
      </c>
      <c r="J28" s="41">
        <f t="shared" si="8"/>
        <v>0</v>
      </c>
      <c r="K28" s="41">
        <f t="shared" si="8"/>
        <v>0</v>
      </c>
      <c r="L28" s="41">
        <f t="shared" si="8"/>
        <v>0</v>
      </c>
      <c r="M28" s="41">
        <f t="shared" si="8"/>
        <v>0</v>
      </c>
      <c r="N28" s="41">
        <f t="shared" si="8"/>
        <v>0</v>
      </c>
      <c r="O28" s="41">
        <f t="shared" si="8"/>
        <v>0</v>
      </c>
      <c r="P28" s="41">
        <f t="shared" si="8"/>
        <v>0</v>
      </c>
      <c r="Q28" s="41">
        <f t="shared" si="8"/>
        <v>0</v>
      </c>
      <c r="R28" s="41">
        <f t="shared" si="8"/>
        <v>0</v>
      </c>
      <c r="S28" s="41">
        <f t="shared" si="8"/>
        <v>0</v>
      </c>
      <c r="T28" s="41">
        <f t="shared" si="8"/>
        <v>0</v>
      </c>
      <c r="U28" s="41">
        <f t="shared" si="8"/>
        <v>0</v>
      </c>
      <c r="V28" s="41">
        <f t="shared" si="8"/>
        <v>0</v>
      </c>
      <c r="W28" s="41">
        <f t="shared" si="8"/>
        <v>0</v>
      </c>
      <c r="X28" s="41">
        <f t="shared" si="8"/>
        <v>0</v>
      </c>
      <c r="Y28" s="41"/>
      <c r="AA28" s="41">
        <f>SUM(E28:Y28)</f>
        <v>0</v>
      </c>
    </row>
    <row r="29" spans="1:27">
      <c r="E29" s="41"/>
      <c r="F29" s="41"/>
      <c r="G29" s="41"/>
      <c r="H29" s="41"/>
      <c r="I29" s="41"/>
      <c r="J29" s="41"/>
      <c r="K29" s="41"/>
      <c r="L29" s="41"/>
      <c r="M29" s="41"/>
      <c r="N29" s="41"/>
      <c r="O29" s="41"/>
      <c r="P29" s="41"/>
      <c r="Q29" s="41"/>
      <c r="R29" s="41"/>
      <c r="S29" s="41"/>
      <c r="T29" s="41"/>
      <c r="U29" s="41"/>
      <c r="V29" s="41"/>
      <c r="W29" s="41"/>
      <c r="X29" s="41"/>
      <c r="Y29" s="41"/>
    </row>
    <row r="31" spans="1:27" ht="15.75" thickBot="1">
      <c r="A31" s="61" t="str">
        <f>CONCATENATE("# UNITS ACHIEVABLE BY YEAR FOR MEASURE - ",C32)</f>
        <v># UNITS ACHIEVABLE BY YEAR FOR MEASURE - Solar Water Heater - New</v>
      </c>
      <c r="D31" s="70" t="s">
        <v>62</v>
      </c>
      <c r="E31" s="9">
        <v>3</v>
      </c>
      <c r="F31" s="9">
        <v>4</v>
      </c>
      <c r="G31" s="9">
        <v>5</v>
      </c>
      <c r="H31" s="9">
        <v>6</v>
      </c>
      <c r="I31" s="9">
        <v>7</v>
      </c>
      <c r="J31" s="9">
        <v>8</v>
      </c>
      <c r="K31" s="9">
        <v>9</v>
      </c>
      <c r="L31" s="9">
        <v>10</v>
      </c>
      <c r="M31" s="9">
        <v>11</v>
      </c>
      <c r="N31" s="9">
        <v>12</v>
      </c>
      <c r="O31" s="9">
        <v>13</v>
      </c>
      <c r="P31" s="9">
        <v>14</v>
      </c>
      <c r="Q31" s="9">
        <v>15</v>
      </c>
      <c r="R31" s="9">
        <v>16</v>
      </c>
      <c r="S31" s="9">
        <v>17</v>
      </c>
      <c r="T31" s="9">
        <v>18</v>
      </c>
      <c r="U31" s="9">
        <v>19</v>
      </c>
      <c r="V31" s="9">
        <v>20</v>
      </c>
      <c r="W31" s="9">
        <v>21</v>
      </c>
      <c r="X31" s="9">
        <v>22</v>
      </c>
    </row>
    <row r="32" spans="1:27" ht="15.75" thickBot="1">
      <c r="C32" s="70" t="str">
        <f>CONCATENATE(C8," - ",C7)</f>
        <v>Solar Water Heater - New</v>
      </c>
      <c r="D32" s="70"/>
      <c r="E32" s="74">
        <f>VLOOKUP($C$32,[2]ACHIEV!$B$10:$X$76,MATCH(E$11,$E$11:$Y$11,0)+2,FALSE)</f>
        <v>0.01</v>
      </c>
      <c r="F32" s="74">
        <f>VLOOKUP($C$32,[2]ACHIEV!$B$10:$X$76,MATCH(F$11,$E$11:$Y$11,0)+2,FALSE)</f>
        <v>2.98E-2</v>
      </c>
      <c r="G32" s="74">
        <f>VLOOKUP($C$32,[2]ACHIEV!$B$10:$X$76,MATCH(G$11,$E$11:$Y$11,0)+2,FALSE)</f>
        <v>5.8906E-2</v>
      </c>
      <c r="H32" s="74">
        <f>VLOOKUP($C$32,[2]ACHIEV!$B$10:$X$76,MATCH(H$11,$E$11:$Y$11,0)+2,FALSE)</f>
        <v>9.6549759999999998E-2</v>
      </c>
      <c r="I32" s="74">
        <f>VLOOKUP($C$32,[2]ACHIEV!$B$10:$X$76,MATCH(I$11,$E$11:$Y$11,0)+2,FALSE)</f>
        <v>0.14172227199999998</v>
      </c>
      <c r="J32" s="74">
        <f>VLOOKUP($C$32,[2]ACHIEV!$B$10:$X$76,MATCH(J$11,$E$11:$Y$11,0)+2,FALSE)</f>
        <v>0.19035800991999999</v>
      </c>
      <c r="K32" s="74">
        <f>VLOOKUP($C$32,[2]ACHIEV!$B$10:$X$76,MATCH(K$11,$E$11:$Y$11,0)+2,FALSE)</f>
        <v>0.2362377226912</v>
      </c>
      <c r="L32" s="74">
        <f>VLOOKUP($C$32,[2]ACHIEV!$B$10:$X$76,MATCH(L$11,$E$11:$Y$11,0)+2,FALSE)</f>
        <v>0.279517585072032</v>
      </c>
      <c r="M32" s="74">
        <f>VLOOKUP($C$32,[2]ACHIEV!$B$10:$X$76,MATCH(M$11,$E$11:$Y$11,0)+2,FALSE)</f>
        <v>0.32034492191795017</v>
      </c>
      <c r="N32" s="74">
        <f>VLOOKUP($C$32,[2]ACHIEV!$B$10:$X$76,MATCH(N$11,$E$11:$Y$11,0)+2,FALSE)</f>
        <v>0.35885870967593297</v>
      </c>
      <c r="O32" s="74">
        <f>VLOOKUP($C$32,[2]ACHIEV!$B$10:$X$76,MATCH(O$11,$E$11:$Y$11,0)+2,FALSE)</f>
        <v>0.39519004946096342</v>
      </c>
      <c r="P32" s="74">
        <f>VLOOKUP($C$32,[2]ACHIEV!$B$10:$X$76,MATCH(P$11,$E$11:$Y$11,0)+2,FALSE)</f>
        <v>0.42946261332484215</v>
      </c>
      <c r="Q32" s="74">
        <f>VLOOKUP($C$32,[2]ACHIEV!$B$10:$X$76,MATCH(Q$11,$E$11:$Y$11,0)+2,FALSE)</f>
        <v>0.46179306523643443</v>
      </c>
      <c r="R32" s="74">
        <f>VLOOKUP($C$32,[2]ACHIEV!$B$10:$X$76,MATCH(R$11,$E$11:$Y$11,0)+2,FALSE)</f>
        <v>0.49229145820636983</v>
      </c>
      <c r="S32" s="74">
        <f>VLOOKUP($C$32,[2]ACHIEV!$B$10:$X$76,MATCH(S$11,$E$11:$Y$11,0)+2,FALSE)</f>
        <v>0.5210616089080089</v>
      </c>
      <c r="T32" s="74">
        <f>VLOOKUP($C$32,[2]ACHIEV!$B$10:$X$76,MATCH(T$11,$E$11:$Y$11,0)+2,FALSE)</f>
        <v>0.54820145106988838</v>
      </c>
      <c r="U32" s="74">
        <f>VLOOKUP($C$32,[2]ACHIEV!$B$10:$X$76,MATCH(U$11,$E$11:$Y$11,0)+2,FALSE)</f>
        <v>0.57380336884259475</v>
      </c>
      <c r="V32" s="74">
        <f>VLOOKUP($C$32,[2]ACHIEV!$B$10:$X$76,MATCH(V$11,$E$11:$Y$11,0)+2,FALSE)</f>
        <v>0.59795451127484767</v>
      </c>
      <c r="W32" s="74">
        <f>VLOOKUP($C$32,[2]ACHIEV!$B$10:$X$76,MATCH(W$11,$E$11:$Y$11,0)+2,FALSE)</f>
        <v>0.62073708896927293</v>
      </c>
      <c r="X32" s="74">
        <f>VLOOKUP($C$32,[2]ACHIEV!$B$10:$X$76,MATCH(X$11,$E$11:$Y$11,0)+2,FALSE)</f>
        <v>0.6422286539276808</v>
      </c>
      <c r="Y32" s="74"/>
      <c r="AA32" s="95">
        <v>0.85</v>
      </c>
    </row>
    <row r="33" spans="1:80">
      <c r="C33" s="9" t="str">
        <f>C23</f>
        <v>Single Family</v>
      </c>
      <c r="E33" s="41">
        <f>E23*E$32*$AA$32</f>
        <v>0</v>
      </c>
      <c r="F33" s="41">
        <f t="shared" ref="F33:X36" si="9">F23*F$32*$AA$32</f>
        <v>0</v>
      </c>
      <c r="G33" s="41">
        <f t="shared" si="9"/>
        <v>0</v>
      </c>
      <c r="H33" s="41">
        <f t="shared" si="9"/>
        <v>0</v>
      </c>
      <c r="I33" s="41">
        <f t="shared" si="9"/>
        <v>0</v>
      </c>
      <c r="J33" s="41">
        <f t="shared" si="9"/>
        <v>0</v>
      </c>
      <c r="K33" s="41">
        <f t="shared" si="9"/>
        <v>0</v>
      </c>
      <c r="L33" s="41">
        <f t="shared" si="9"/>
        <v>0</v>
      </c>
      <c r="M33" s="41">
        <f t="shared" si="9"/>
        <v>0</v>
      </c>
      <c r="N33" s="41">
        <f t="shared" si="9"/>
        <v>0</v>
      </c>
      <c r="O33" s="41">
        <f t="shared" si="9"/>
        <v>0</v>
      </c>
      <c r="P33" s="41">
        <f t="shared" si="9"/>
        <v>0</v>
      </c>
      <c r="Q33" s="41">
        <f t="shared" si="9"/>
        <v>0</v>
      </c>
      <c r="R33" s="41">
        <f t="shared" si="9"/>
        <v>0</v>
      </c>
      <c r="S33" s="41">
        <f t="shared" si="9"/>
        <v>0</v>
      </c>
      <c r="T33" s="41">
        <f t="shared" si="9"/>
        <v>0</v>
      </c>
      <c r="U33" s="41">
        <f t="shared" si="9"/>
        <v>0</v>
      </c>
      <c r="V33" s="41">
        <f t="shared" si="9"/>
        <v>0</v>
      </c>
      <c r="W33" s="41">
        <f t="shared" si="9"/>
        <v>0</v>
      </c>
      <c r="X33" s="41">
        <f t="shared" si="9"/>
        <v>0</v>
      </c>
      <c r="Y33" s="41"/>
      <c r="AA33" s="41">
        <f t="shared" ref="AA33:AA36" si="10">SUM(E33:Y33)</f>
        <v>0</v>
      </c>
    </row>
    <row r="34" spans="1:80">
      <c r="C34" s="9" t="str">
        <f>C24</f>
        <v>Multifamily - Low Rise</v>
      </c>
      <c r="E34" s="41">
        <f t="shared" ref="E34:T36" si="11">E24*E$32*$AA$32</f>
        <v>0</v>
      </c>
      <c r="F34" s="41">
        <f t="shared" si="11"/>
        <v>0</v>
      </c>
      <c r="G34" s="41">
        <f t="shared" si="11"/>
        <v>0</v>
      </c>
      <c r="H34" s="41">
        <f t="shared" si="11"/>
        <v>0</v>
      </c>
      <c r="I34" s="41">
        <f t="shared" si="11"/>
        <v>0</v>
      </c>
      <c r="J34" s="41">
        <f t="shared" si="11"/>
        <v>0</v>
      </c>
      <c r="K34" s="41">
        <f t="shared" si="11"/>
        <v>0</v>
      </c>
      <c r="L34" s="41">
        <f t="shared" si="11"/>
        <v>0</v>
      </c>
      <c r="M34" s="41">
        <f t="shared" si="11"/>
        <v>0</v>
      </c>
      <c r="N34" s="41">
        <f t="shared" si="11"/>
        <v>0</v>
      </c>
      <c r="O34" s="41">
        <f t="shared" si="11"/>
        <v>0</v>
      </c>
      <c r="P34" s="41">
        <f t="shared" si="11"/>
        <v>0</v>
      </c>
      <c r="Q34" s="41">
        <f t="shared" si="11"/>
        <v>0</v>
      </c>
      <c r="R34" s="41">
        <f t="shared" si="11"/>
        <v>0</v>
      </c>
      <c r="S34" s="41">
        <f t="shared" si="11"/>
        <v>0</v>
      </c>
      <c r="T34" s="41">
        <f t="shared" si="11"/>
        <v>0</v>
      </c>
      <c r="U34" s="41">
        <f t="shared" si="9"/>
        <v>0</v>
      </c>
      <c r="V34" s="41">
        <f t="shared" si="9"/>
        <v>0</v>
      </c>
      <c r="W34" s="41">
        <f t="shared" si="9"/>
        <v>0</v>
      </c>
      <c r="X34" s="41">
        <f t="shared" si="9"/>
        <v>0</v>
      </c>
      <c r="Y34" s="41"/>
      <c r="AA34" s="41">
        <f t="shared" si="10"/>
        <v>0</v>
      </c>
    </row>
    <row r="35" spans="1:80">
      <c r="C35" s="9" t="s">
        <v>50</v>
      </c>
      <c r="E35" s="41">
        <f t="shared" si="11"/>
        <v>0</v>
      </c>
      <c r="F35" s="41">
        <f t="shared" si="9"/>
        <v>0</v>
      </c>
      <c r="G35" s="41">
        <f t="shared" si="9"/>
        <v>0</v>
      </c>
      <c r="H35" s="41">
        <f t="shared" si="9"/>
        <v>0</v>
      </c>
      <c r="I35" s="41">
        <f t="shared" si="9"/>
        <v>0</v>
      </c>
      <c r="J35" s="41">
        <f t="shared" si="9"/>
        <v>0</v>
      </c>
      <c r="K35" s="41">
        <f t="shared" si="9"/>
        <v>0</v>
      </c>
      <c r="L35" s="41">
        <f t="shared" si="9"/>
        <v>0</v>
      </c>
      <c r="M35" s="41">
        <f t="shared" si="9"/>
        <v>0</v>
      </c>
      <c r="N35" s="41">
        <f t="shared" si="9"/>
        <v>0</v>
      </c>
      <c r="O35" s="41">
        <f t="shared" si="9"/>
        <v>0</v>
      </c>
      <c r="P35" s="41">
        <f t="shared" si="9"/>
        <v>0</v>
      </c>
      <c r="Q35" s="41">
        <f t="shared" si="9"/>
        <v>0</v>
      </c>
      <c r="R35" s="41">
        <f t="shared" si="9"/>
        <v>0</v>
      </c>
      <c r="S35" s="41">
        <f t="shared" si="9"/>
        <v>0</v>
      </c>
      <c r="T35" s="41">
        <f t="shared" si="9"/>
        <v>0</v>
      </c>
      <c r="U35" s="41">
        <f t="shared" si="9"/>
        <v>0</v>
      </c>
      <c r="V35" s="41">
        <f t="shared" si="9"/>
        <v>0</v>
      </c>
      <c r="W35" s="41">
        <f t="shared" si="9"/>
        <v>0</v>
      </c>
      <c r="X35" s="41">
        <f t="shared" si="9"/>
        <v>0</v>
      </c>
      <c r="Y35" s="41"/>
      <c r="AA35" s="41">
        <f t="shared" si="10"/>
        <v>0</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9" t="str">
        <f>C26</f>
        <v>Manufactured</v>
      </c>
      <c r="E36" s="41">
        <f t="shared" si="11"/>
        <v>0</v>
      </c>
      <c r="F36" s="41">
        <f t="shared" si="9"/>
        <v>0</v>
      </c>
      <c r="G36" s="41">
        <f t="shared" si="9"/>
        <v>0</v>
      </c>
      <c r="H36" s="41">
        <f t="shared" si="9"/>
        <v>0</v>
      </c>
      <c r="I36" s="41">
        <f t="shared" si="9"/>
        <v>0</v>
      </c>
      <c r="J36" s="41">
        <f t="shared" si="9"/>
        <v>0</v>
      </c>
      <c r="K36" s="41">
        <f t="shared" si="9"/>
        <v>0</v>
      </c>
      <c r="L36" s="41">
        <f t="shared" si="9"/>
        <v>0</v>
      </c>
      <c r="M36" s="41">
        <f t="shared" si="9"/>
        <v>0</v>
      </c>
      <c r="N36" s="41">
        <f t="shared" si="9"/>
        <v>0</v>
      </c>
      <c r="O36" s="41">
        <f t="shared" si="9"/>
        <v>0</v>
      </c>
      <c r="P36" s="41">
        <f t="shared" si="9"/>
        <v>0</v>
      </c>
      <c r="Q36" s="41">
        <f t="shared" si="9"/>
        <v>0</v>
      </c>
      <c r="R36" s="41">
        <f t="shared" si="9"/>
        <v>0</v>
      </c>
      <c r="S36" s="41">
        <f t="shared" si="9"/>
        <v>0</v>
      </c>
      <c r="T36" s="41">
        <f t="shared" si="9"/>
        <v>0</v>
      </c>
      <c r="U36" s="41">
        <f t="shared" si="9"/>
        <v>0</v>
      </c>
      <c r="V36" s="41">
        <f t="shared" si="9"/>
        <v>0</v>
      </c>
      <c r="W36" s="41">
        <f t="shared" si="9"/>
        <v>0</v>
      </c>
      <c r="X36" s="41">
        <f t="shared" si="9"/>
        <v>0</v>
      </c>
      <c r="Y36" s="41"/>
      <c r="AA36" s="41">
        <f t="shared" si="10"/>
        <v>0</v>
      </c>
    </row>
    <row r="37" spans="1:80">
      <c r="E37" s="41"/>
      <c r="F37" s="41"/>
      <c r="G37" s="41"/>
      <c r="H37" s="41"/>
      <c r="I37" s="41"/>
      <c r="J37" s="41"/>
      <c r="K37" s="41"/>
      <c r="L37" s="41"/>
      <c r="M37" s="41"/>
      <c r="N37" s="41"/>
      <c r="O37" s="41"/>
      <c r="P37" s="41"/>
      <c r="Q37" s="41"/>
      <c r="R37" s="41"/>
      <c r="S37" s="41"/>
      <c r="T37" s="41"/>
      <c r="U37" s="41"/>
      <c r="V37" s="41"/>
      <c r="W37" s="41"/>
      <c r="X37" s="41"/>
      <c r="Y37" s="41"/>
    </row>
    <row r="38" spans="1:80">
      <c r="E38" s="41">
        <f t="shared" ref="E38:X38" si="12">SUM(E33:E36)</f>
        <v>0</v>
      </c>
      <c r="F38" s="41">
        <f t="shared" si="12"/>
        <v>0</v>
      </c>
      <c r="G38" s="41">
        <f t="shared" si="12"/>
        <v>0</v>
      </c>
      <c r="H38" s="41">
        <f t="shared" si="12"/>
        <v>0</v>
      </c>
      <c r="I38" s="41">
        <f t="shared" si="12"/>
        <v>0</v>
      </c>
      <c r="J38" s="41">
        <f t="shared" si="12"/>
        <v>0</v>
      </c>
      <c r="K38" s="41">
        <f t="shared" si="12"/>
        <v>0</v>
      </c>
      <c r="L38" s="41">
        <f t="shared" si="12"/>
        <v>0</v>
      </c>
      <c r="M38" s="41">
        <f t="shared" si="12"/>
        <v>0</v>
      </c>
      <c r="N38" s="41">
        <f t="shared" si="12"/>
        <v>0</v>
      </c>
      <c r="O38" s="41">
        <f t="shared" si="12"/>
        <v>0</v>
      </c>
      <c r="P38" s="41">
        <f t="shared" si="12"/>
        <v>0</v>
      </c>
      <c r="Q38" s="41">
        <f t="shared" si="12"/>
        <v>0</v>
      </c>
      <c r="R38" s="41">
        <f t="shared" si="12"/>
        <v>0</v>
      </c>
      <c r="S38" s="41">
        <f t="shared" si="12"/>
        <v>0</v>
      </c>
      <c r="T38" s="41">
        <f t="shared" si="12"/>
        <v>0</v>
      </c>
      <c r="U38" s="41">
        <f t="shared" si="12"/>
        <v>0</v>
      </c>
      <c r="V38" s="41">
        <f t="shared" si="12"/>
        <v>0</v>
      </c>
      <c r="W38" s="41">
        <f t="shared" si="12"/>
        <v>0</v>
      </c>
      <c r="X38" s="41">
        <f t="shared" si="12"/>
        <v>0</v>
      </c>
      <c r="Y38" s="41"/>
      <c r="AA38" s="41">
        <f>SUM(E38:Y38)</f>
        <v>0</v>
      </c>
    </row>
    <row r="40" spans="1:80">
      <c r="AA40"/>
      <c r="AB40"/>
      <c r="AC40"/>
      <c r="AD40"/>
    </row>
    <row r="41" spans="1:80" ht="15">
      <c r="A41" s="61" t="s">
        <v>64</v>
      </c>
      <c r="C41" s="70" t="str">
        <f>C8</f>
        <v>Solar Water Heater</v>
      </c>
      <c r="D41" s="70"/>
      <c r="E41" s="9" t="s">
        <v>173</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70" t="s">
        <v>65</v>
      </c>
      <c r="B42" s="70" t="s">
        <v>176</v>
      </c>
      <c r="C42" s="70">
        <v>1</v>
      </c>
      <c r="D42" s="70"/>
      <c r="E42" s="64">
        <f t="shared" ref="E42:X42" si="13">E11</f>
        <v>2016</v>
      </c>
      <c r="F42" s="65">
        <f t="shared" si="13"/>
        <v>2017</v>
      </c>
      <c r="G42" s="65">
        <f t="shared" si="13"/>
        <v>2018</v>
      </c>
      <c r="H42" s="65">
        <f t="shared" si="13"/>
        <v>2019</v>
      </c>
      <c r="I42" s="65">
        <f t="shared" si="13"/>
        <v>2020</v>
      </c>
      <c r="J42" s="65">
        <f t="shared" si="13"/>
        <v>2021</v>
      </c>
      <c r="K42" s="65">
        <f t="shared" si="13"/>
        <v>2022</v>
      </c>
      <c r="L42" s="65">
        <f t="shared" si="13"/>
        <v>2023</v>
      </c>
      <c r="M42" s="65">
        <f t="shared" si="13"/>
        <v>2024</v>
      </c>
      <c r="N42" s="65">
        <f t="shared" si="13"/>
        <v>2025</v>
      </c>
      <c r="O42" s="65">
        <f t="shared" si="13"/>
        <v>2026</v>
      </c>
      <c r="P42" s="65">
        <f t="shared" si="13"/>
        <v>2027</v>
      </c>
      <c r="Q42" s="65">
        <f t="shared" si="13"/>
        <v>2028</v>
      </c>
      <c r="R42" s="65">
        <f t="shared" si="13"/>
        <v>2029</v>
      </c>
      <c r="S42" s="65">
        <f t="shared" si="13"/>
        <v>2030</v>
      </c>
      <c r="T42" s="65">
        <f t="shared" si="13"/>
        <v>2031</v>
      </c>
      <c r="U42" s="65">
        <f t="shared" si="13"/>
        <v>2032</v>
      </c>
      <c r="V42" s="65">
        <f t="shared" si="13"/>
        <v>2033</v>
      </c>
      <c r="W42" s="65">
        <f t="shared" si="13"/>
        <v>2034</v>
      </c>
      <c r="X42" s="65">
        <f t="shared" si="13"/>
        <v>2035</v>
      </c>
      <c r="Y42" s="66" t="s">
        <v>61</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70" t="str">
        <f>M_Input_Out!C3</f>
        <v>Busbar Savings</v>
      </c>
      <c r="B43" s="70" t="s">
        <v>66</v>
      </c>
      <c r="C43" s="70" t="s">
        <v>67</v>
      </c>
      <c r="D43" s="70" t="s">
        <v>68</v>
      </c>
      <c r="E43" s="67" t="str">
        <f>CONCATENATE("aMW_",E$11)</f>
        <v>aMW_2016</v>
      </c>
      <c r="F43" s="68" t="str">
        <f t="shared" ref="F43:X43" si="14">CONCATENATE("aMW_",F$11)</f>
        <v>aMW_2017</v>
      </c>
      <c r="G43" s="68" t="str">
        <f t="shared" si="14"/>
        <v>aMW_2018</v>
      </c>
      <c r="H43" s="68" t="str">
        <f t="shared" si="14"/>
        <v>aMW_2019</v>
      </c>
      <c r="I43" s="68" t="str">
        <f t="shared" si="14"/>
        <v>aMW_2020</v>
      </c>
      <c r="J43" s="68" t="str">
        <f t="shared" si="14"/>
        <v>aMW_2021</v>
      </c>
      <c r="K43" s="68" t="str">
        <f t="shared" si="14"/>
        <v>aMW_2022</v>
      </c>
      <c r="L43" s="68" t="str">
        <f t="shared" si="14"/>
        <v>aMW_2023</v>
      </c>
      <c r="M43" s="68" t="str">
        <f t="shared" si="14"/>
        <v>aMW_2024</v>
      </c>
      <c r="N43" s="68" t="str">
        <f t="shared" si="14"/>
        <v>aMW_2025</v>
      </c>
      <c r="O43" s="68" t="str">
        <f t="shared" si="14"/>
        <v>aMW_2026</v>
      </c>
      <c r="P43" s="68" t="str">
        <f t="shared" si="14"/>
        <v>aMW_2027</v>
      </c>
      <c r="Q43" s="68" t="str">
        <f t="shared" si="14"/>
        <v>aMW_2028</v>
      </c>
      <c r="R43" s="68" t="str">
        <f t="shared" si="14"/>
        <v>aMW_2029</v>
      </c>
      <c r="S43" s="68" t="str">
        <f t="shared" si="14"/>
        <v>aMW_2030</v>
      </c>
      <c r="T43" s="68" t="str">
        <f t="shared" si="14"/>
        <v>aMW_2031</v>
      </c>
      <c r="U43" s="68" t="str">
        <f t="shared" si="14"/>
        <v>aMW_2032</v>
      </c>
      <c r="V43" s="68" t="str">
        <f t="shared" si="14"/>
        <v>aMW_2033</v>
      </c>
      <c r="W43" s="68" t="str">
        <f t="shared" si="14"/>
        <v>aMW_2034</v>
      </c>
      <c r="X43" s="68" t="str">
        <f t="shared" si="14"/>
        <v>aMW_2035</v>
      </c>
      <c r="Y43" s="69" t="s">
        <v>61</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63">
        <f t="shared" ref="A44:A51" si="15">VLOOKUP($D44,MeasureOutput,3,FALSE)</f>
        <v>1143.7735891348643</v>
      </c>
      <c r="B44" s="63">
        <f t="shared" ref="B44:B51" si="16">VLOOKUP($D44,MeasureOutput,11,FALSE)</f>
        <v>706.87339201859641</v>
      </c>
      <c r="C44" s="9" t="str">
        <f>C13</f>
        <v>Single Family</v>
      </c>
      <c r="D44" t="s">
        <v>361</v>
      </c>
      <c r="E44" s="36">
        <f>VLOOKUP($C44,$C$33:$Y$36,E$31,FALSE)*$C$42*$A44/8760/1000*VLOOKUP(1*RIGHT($D44,1),'PNW Solar Zones'!$A$2:$D$6,4,FALSE)</f>
        <v>0</v>
      </c>
      <c r="F44" s="36">
        <f>VLOOKUP($C44,$C$33:$Y$36,F$31,FALSE)*$C$42*$A44/8760/1000*VLOOKUP(1*RIGHT($D44,1),'PNW Solar Zones'!$A$2:$D$6,4,FALSE)</f>
        <v>0</v>
      </c>
      <c r="G44" s="36">
        <f>VLOOKUP($C44,$C$33:$Y$36,G$31,FALSE)*$C$42*$A44/8760/1000*VLOOKUP(1*RIGHT($D44,1),'PNW Solar Zones'!$A$2:$D$6,4,FALSE)</f>
        <v>0</v>
      </c>
      <c r="H44" s="36">
        <f>VLOOKUP($C44,$C$33:$Y$36,H$31,FALSE)*$C$42*$A44/8760/1000*VLOOKUP(1*RIGHT($D44,1),'PNW Solar Zones'!$A$2:$D$6,4,FALSE)</f>
        <v>0</v>
      </c>
      <c r="I44" s="36">
        <f>VLOOKUP($C44,$C$33:$Y$36,I$31,FALSE)*$C$42*$A44/8760/1000*VLOOKUP(1*RIGHT($D44,1),'PNW Solar Zones'!$A$2:$D$6,4,FALSE)</f>
        <v>0</v>
      </c>
      <c r="J44" s="36">
        <f>VLOOKUP($C44,$C$33:$Y$36,J$31,FALSE)*$C$42*$A44/8760/1000*VLOOKUP(1*RIGHT($D44,1),'PNW Solar Zones'!$A$2:$D$6,4,FALSE)</f>
        <v>0</v>
      </c>
      <c r="K44" s="36">
        <f>VLOOKUP($C44,$C$33:$Y$36,K$31,FALSE)*$C$42*$A44/8760/1000*VLOOKUP(1*RIGHT($D44,1),'PNW Solar Zones'!$A$2:$D$6,4,FALSE)</f>
        <v>0</v>
      </c>
      <c r="L44" s="36">
        <f>VLOOKUP($C44,$C$33:$Y$36,L$31,FALSE)*$C$42*$A44/8760/1000*VLOOKUP(1*RIGHT($D44,1),'PNW Solar Zones'!$A$2:$D$6,4,FALSE)</f>
        <v>0</v>
      </c>
      <c r="M44" s="36">
        <f>VLOOKUP($C44,$C$33:$Y$36,M$31,FALSE)*$C$42*$A44/8760/1000*VLOOKUP(1*RIGHT($D44,1),'PNW Solar Zones'!$A$2:$D$6,4,FALSE)</f>
        <v>0</v>
      </c>
      <c r="N44" s="36">
        <f>VLOOKUP($C44,$C$33:$Y$36,N$31,FALSE)*$C$42*$A44/8760/1000*VLOOKUP(1*RIGHT($D44,1),'PNW Solar Zones'!$A$2:$D$6,4,FALSE)</f>
        <v>0</v>
      </c>
      <c r="O44" s="36">
        <f>VLOOKUP($C44,$C$33:$Y$36,O$31,FALSE)*$C$42*$A44/8760/1000*VLOOKUP(1*RIGHT($D44,1),'PNW Solar Zones'!$A$2:$D$6,4,FALSE)</f>
        <v>0</v>
      </c>
      <c r="P44" s="36">
        <f>VLOOKUP($C44,$C$33:$Y$36,P$31,FALSE)*$C$42*$A44/8760/1000*VLOOKUP(1*RIGHT($D44,1),'PNW Solar Zones'!$A$2:$D$6,4,FALSE)</f>
        <v>0</v>
      </c>
      <c r="Q44" s="36">
        <f>VLOOKUP($C44,$C$33:$Y$36,Q$31,FALSE)*$C$42*$A44/8760/1000*VLOOKUP(1*RIGHT($D44,1),'PNW Solar Zones'!$A$2:$D$6,4,FALSE)</f>
        <v>0</v>
      </c>
      <c r="R44" s="36">
        <f>VLOOKUP($C44,$C$33:$Y$36,R$31,FALSE)*$C$42*$A44/8760/1000*VLOOKUP(1*RIGHT($D44,1),'PNW Solar Zones'!$A$2:$D$6,4,FALSE)</f>
        <v>0</v>
      </c>
      <c r="S44" s="36">
        <f>VLOOKUP($C44,$C$33:$Y$36,S$31,FALSE)*$C$42*$A44/8760/1000*VLOOKUP(1*RIGHT($D44,1),'PNW Solar Zones'!$A$2:$D$6,4,FALSE)</f>
        <v>0</v>
      </c>
      <c r="T44" s="36">
        <f>VLOOKUP($C44,$C$33:$Y$36,T$31,FALSE)*$C$42*$A44/8760/1000*VLOOKUP(1*RIGHT($D44,1),'PNW Solar Zones'!$A$2:$D$6,4,FALSE)</f>
        <v>0</v>
      </c>
      <c r="U44" s="36">
        <f>VLOOKUP($C44,$C$33:$Y$36,U$31,FALSE)*$C$42*$A44/8760/1000*VLOOKUP(1*RIGHT($D44,1),'PNW Solar Zones'!$A$2:$D$6,4,FALSE)</f>
        <v>0</v>
      </c>
      <c r="V44" s="36">
        <f>VLOOKUP($C44,$C$33:$Y$36,V$31,FALSE)*$C$42*$A44/8760/1000*VLOOKUP(1*RIGHT($D44,1),'PNW Solar Zones'!$A$2:$D$6,4,FALSE)</f>
        <v>0</v>
      </c>
      <c r="W44" s="36">
        <f>VLOOKUP($C44,$C$33:$Y$36,W$31,FALSE)*$C$42*$A44/8760/1000*VLOOKUP(1*RIGHT($D44,1),'PNW Solar Zones'!$A$2:$D$6,4,FALSE)</f>
        <v>0</v>
      </c>
      <c r="X44" s="36">
        <f>VLOOKUP($C44,$C$33:$Y$36,X$31,FALSE)*$C$42*$A44/8760/1000*VLOOKUP(1*RIGHT($D44,1),'PNW Solar Zones'!$A$2:$D$6,4,FALSE)</f>
        <v>0</v>
      </c>
      <c r="Y44" s="36">
        <f>SUM(E44:X44)</f>
        <v>0</v>
      </c>
      <c r="AA44" s="41">
        <f t="shared" ref="AA44:AA54" si="17">SUM(E44:Y44)</f>
        <v>0</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63">
        <f t="shared" si="15"/>
        <v>1203.9721990893308</v>
      </c>
      <c r="B45" s="63">
        <f t="shared" si="16"/>
        <v>671.05544851452532</v>
      </c>
      <c r="C45" s="9" t="s">
        <v>48</v>
      </c>
      <c r="D45" t="s">
        <v>362</v>
      </c>
      <c r="E45" s="36">
        <f>VLOOKUP($C45,$C$33:$Y$36,E$31,FALSE)*$C$42*$A45/8760/1000*VLOOKUP(1*RIGHT($D45,1),'PNW Solar Zones'!$A$2:$D$6,4,FALSE)</f>
        <v>0</v>
      </c>
      <c r="F45" s="36">
        <f>VLOOKUP($C45,$C$33:$Y$36,F$31,FALSE)*$C$42*$A45/8760/1000*VLOOKUP(1*RIGHT($D45,1),'PNW Solar Zones'!$A$2:$D$6,4,FALSE)</f>
        <v>0</v>
      </c>
      <c r="G45" s="36">
        <f>VLOOKUP($C45,$C$33:$Y$36,G$31,FALSE)*$C$42*$A45/8760/1000*VLOOKUP(1*RIGHT($D45,1),'PNW Solar Zones'!$A$2:$D$6,4,FALSE)</f>
        <v>0</v>
      </c>
      <c r="H45" s="36">
        <f>VLOOKUP($C45,$C$33:$Y$36,H$31,FALSE)*$C$42*$A45/8760/1000*VLOOKUP(1*RIGHT($D45,1),'PNW Solar Zones'!$A$2:$D$6,4,FALSE)</f>
        <v>0</v>
      </c>
      <c r="I45" s="36">
        <f>VLOOKUP($C45,$C$33:$Y$36,I$31,FALSE)*$C$42*$A45/8760/1000*VLOOKUP(1*RIGHT($D45,1),'PNW Solar Zones'!$A$2:$D$6,4,FALSE)</f>
        <v>0</v>
      </c>
      <c r="J45" s="36">
        <f>VLOOKUP($C45,$C$33:$Y$36,J$31,FALSE)*$C$42*$A45/8760/1000*VLOOKUP(1*RIGHT($D45,1),'PNW Solar Zones'!$A$2:$D$6,4,FALSE)</f>
        <v>0</v>
      </c>
      <c r="K45" s="36">
        <f>VLOOKUP($C45,$C$33:$Y$36,K$31,FALSE)*$C$42*$A45/8760/1000*VLOOKUP(1*RIGHT($D45,1),'PNW Solar Zones'!$A$2:$D$6,4,FALSE)</f>
        <v>0</v>
      </c>
      <c r="L45" s="36">
        <f>VLOOKUP($C45,$C$33:$Y$36,L$31,FALSE)*$C$42*$A45/8760/1000*VLOOKUP(1*RIGHT($D45,1),'PNW Solar Zones'!$A$2:$D$6,4,FALSE)</f>
        <v>0</v>
      </c>
      <c r="M45" s="36">
        <f>VLOOKUP($C45,$C$33:$Y$36,M$31,FALSE)*$C$42*$A45/8760/1000*VLOOKUP(1*RIGHT($D45,1),'PNW Solar Zones'!$A$2:$D$6,4,FALSE)</f>
        <v>0</v>
      </c>
      <c r="N45" s="36">
        <f>VLOOKUP($C45,$C$33:$Y$36,N$31,FALSE)*$C$42*$A45/8760/1000*VLOOKUP(1*RIGHT($D45,1),'PNW Solar Zones'!$A$2:$D$6,4,FALSE)</f>
        <v>0</v>
      </c>
      <c r="O45" s="36">
        <f>VLOOKUP($C45,$C$33:$Y$36,O$31,FALSE)*$C$42*$A45/8760/1000*VLOOKUP(1*RIGHT($D45,1),'PNW Solar Zones'!$A$2:$D$6,4,FALSE)</f>
        <v>0</v>
      </c>
      <c r="P45" s="36">
        <f>VLOOKUP($C45,$C$33:$Y$36,P$31,FALSE)*$C$42*$A45/8760/1000*VLOOKUP(1*RIGHT($D45,1),'PNW Solar Zones'!$A$2:$D$6,4,FALSE)</f>
        <v>0</v>
      </c>
      <c r="Q45" s="36">
        <f>VLOOKUP($C45,$C$33:$Y$36,Q$31,FALSE)*$C$42*$A45/8760/1000*VLOOKUP(1*RIGHT($D45,1),'PNW Solar Zones'!$A$2:$D$6,4,FALSE)</f>
        <v>0</v>
      </c>
      <c r="R45" s="36">
        <f>VLOOKUP($C45,$C$33:$Y$36,R$31,FALSE)*$C$42*$A45/8760/1000*VLOOKUP(1*RIGHT($D45,1),'PNW Solar Zones'!$A$2:$D$6,4,FALSE)</f>
        <v>0</v>
      </c>
      <c r="S45" s="36">
        <f>VLOOKUP($C45,$C$33:$Y$36,S$31,FALSE)*$C$42*$A45/8760/1000*VLOOKUP(1*RIGHT($D45,1),'PNW Solar Zones'!$A$2:$D$6,4,FALSE)</f>
        <v>0</v>
      </c>
      <c r="T45" s="36">
        <f>VLOOKUP($C45,$C$33:$Y$36,T$31,FALSE)*$C$42*$A45/8760/1000*VLOOKUP(1*RIGHT($D45,1),'PNW Solar Zones'!$A$2:$D$6,4,FALSE)</f>
        <v>0</v>
      </c>
      <c r="U45" s="36">
        <f>VLOOKUP($C45,$C$33:$Y$36,U$31,FALSE)*$C$42*$A45/8760/1000*VLOOKUP(1*RIGHT($D45,1),'PNW Solar Zones'!$A$2:$D$6,4,FALSE)</f>
        <v>0</v>
      </c>
      <c r="V45" s="36">
        <f>VLOOKUP($C45,$C$33:$Y$36,V$31,FALSE)*$C$42*$A45/8760/1000*VLOOKUP(1*RIGHT($D45,1),'PNW Solar Zones'!$A$2:$D$6,4,FALSE)</f>
        <v>0</v>
      </c>
      <c r="W45" s="36">
        <f>VLOOKUP($C45,$C$33:$Y$36,W$31,FALSE)*$C$42*$A45/8760/1000*VLOOKUP(1*RIGHT($D45,1),'PNW Solar Zones'!$A$2:$D$6,4,FALSE)</f>
        <v>0</v>
      </c>
      <c r="X45" s="36">
        <f>VLOOKUP($C45,$C$33:$Y$36,X$31,FALSE)*$C$42*$A45/8760/1000*VLOOKUP(1*RIGHT($D45,1),'PNW Solar Zones'!$A$2:$D$6,4,FALSE)</f>
        <v>0</v>
      </c>
      <c r="Y45" s="36">
        <f t="shared" ref="Y45:Y51" si="18">SUM(E45:X45)</f>
        <v>0</v>
      </c>
      <c r="AA45" s="41">
        <f t="shared" si="17"/>
        <v>0</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63">
        <f t="shared" si="15"/>
        <v>1294.2701140210308</v>
      </c>
      <c r="B46" s="63">
        <f t="shared" si="16"/>
        <v>623.57584898587277</v>
      </c>
      <c r="C46" s="9" t="s">
        <v>48</v>
      </c>
      <c r="D46" t="s">
        <v>363</v>
      </c>
      <c r="E46" s="36">
        <f>VLOOKUP($C46,$C$33:$Y$36,E$31,FALSE)*$C$42*$A46/8760/1000*VLOOKUP(1*RIGHT($D46,1),'PNW Solar Zones'!$A$2:$D$6,4,FALSE)</f>
        <v>0</v>
      </c>
      <c r="F46" s="36">
        <f>VLOOKUP($C46,$C$33:$Y$36,F$31,FALSE)*$C$42*$A46/8760/1000*VLOOKUP(1*RIGHT($D46,1),'PNW Solar Zones'!$A$2:$D$6,4,FALSE)</f>
        <v>0</v>
      </c>
      <c r="G46" s="36">
        <f>VLOOKUP($C46,$C$33:$Y$36,G$31,FALSE)*$C$42*$A46/8760/1000*VLOOKUP(1*RIGHT($D46,1),'PNW Solar Zones'!$A$2:$D$6,4,FALSE)</f>
        <v>0</v>
      </c>
      <c r="H46" s="36">
        <f>VLOOKUP($C46,$C$33:$Y$36,H$31,FALSE)*$C$42*$A46/8760/1000*VLOOKUP(1*RIGHT($D46,1),'PNW Solar Zones'!$A$2:$D$6,4,FALSE)</f>
        <v>0</v>
      </c>
      <c r="I46" s="36">
        <f>VLOOKUP($C46,$C$33:$Y$36,I$31,FALSE)*$C$42*$A46/8760/1000*VLOOKUP(1*RIGHT($D46,1),'PNW Solar Zones'!$A$2:$D$6,4,FALSE)</f>
        <v>0</v>
      </c>
      <c r="J46" s="36">
        <f>VLOOKUP($C46,$C$33:$Y$36,J$31,FALSE)*$C$42*$A46/8760/1000*VLOOKUP(1*RIGHT($D46,1),'PNW Solar Zones'!$A$2:$D$6,4,FALSE)</f>
        <v>0</v>
      </c>
      <c r="K46" s="36">
        <f>VLOOKUP($C46,$C$33:$Y$36,K$31,FALSE)*$C$42*$A46/8760/1000*VLOOKUP(1*RIGHT($D46,1),'PNW Solar Zones'!$A$2:$D$6,4,FALSE)</f>
        <v>0</v>
      </c>
      <c r="L46" s="36">
        <f>VLOOKUP($C46,$C$33:$Y$36,L$31,FALSE)*$C$42*$A46/8760/1000*VLOOKUP(1*RIGHT($D46,1),'PNW Solar Zones'!$A$2:$D$6,4,FALSE)</f>
        <v>0</v>
      </c>
      <c r="M46" s="36">
        <f>VLOOKUP($C46,$C$33:$Y$36,M$31,FALSE)*$C$42*$A46/8760/1000*VLOOKUP(1*RIGHT($D46,1),'PNW Solar Zones'!$A$2:$D$6,4,FALSE)</f>
        <v>0</v>
      </c>
      <c r="N46" s="36">
        <f>VLOOKUP($C46,$C$33:$Y$36,N$31,FALSE)*$C$42*$A46/8760/1000*VLOOKUP(1*RIGHT($D46,1),'PNW Solar Zones'!$A$2:$D$6,4,FALSE)</f>
        <v>0</v>
      </c>
      <c r="O46" s="36">
        <f>VLOOKUP($C46,$C$33:$Y$36,O$31,FALSE)*$C$42*$A46/8760/1000*VLOOKUP(1*RIGHT($D46,1),'PNW Solar Zones'!$A$2:$D$6,4,FALSE)</f>
        <v>0</v>
      </c>
      <c r="P46" s="36">
        <f>VLOOKUP($C46,$C$33:$Y$36,P$31,FALSE)*$C$42*$A46/8760/1000*VLOOKUP(1*RIGHT($D46,1),'PNW Solar Zones'!$A$2:$D$6,4,FALSE)</f>
        <v>0</v>
      </c>
      <c r="Q46" s="36">
        <f>VLOOKUP($C46,$C$33:$Y$36,Q$31,FALSE)*$C$42*$A46/8760/1000*VLOOKUP(1*RIGHT($D46,1),'PNW Solar Zones'!$A$2:$D$6,4,FALSE)</f>
        <v>0</v>
      </c>
      <c r="R46" s="36">
        <f>VLOOKUP($C46,$C$33:$Y$36,R$31,FALSE)*$C$42*$A46/8760/1000*VLOOKUP(1*RIGHT($D46,1),'PNW Solar Zones'!$A$2:$D$6,4,FALSE)</f>
        <v>0</v>
      </c>
      <c r="S46" s="36">
        <f>VLOOKUP($C46,$C$33:$Y$36,S$31,FALSE)*$C$42*$A46/8760/1000*VLOOKUP(1*RIGHT($D46,1),'PNW Solar Zones'!$A$2:$D$6,4,FALSE)</f>
        <v>0</v>
      </c>
      <c r="T46" s="36">
        <f>VLOOKUP($C46,$C$33:$Y$36,T$31,FALSE)*$C$42*$A46/8760/1000*VLOOKUP(1*RIGHT($D46,1),'PNW Solar Zones'!$A$2:$D$6,4,FALSE)</f>
        <v>0</v>
      </c>
      <c r="U46" s="36">
        <f>VLOOKUP($C46,$C$33:$Y$36,U$31,FALSE)*$C$42*$A46/8760/1000*VLOOKUP(1*RIGHT($D46,1),'PNW Solar Zones'!$A$2:$D$6,4,FALSE)</f>
        <v>0</v>
      </c>
      <c r="V46" s="36">
        <f>VLOOKUP($C46,$C$33:$Y$36,V$31,FALSE)*$C$42*$A46/8760/1000*VLOOKUP(1*RIGHT($D46,1),'PNW Solar Zones'!$A$2:$D$6,4,FALSE)</f>
        <v>0</v>
      </c>
      <c r="W46" s="36">
        <f>VLOOKUP($C46,$C$33:$Y$36,W$31,FALSE)*$C$42*$A46/8760/1000*VLOOKUP(1*RIGHT($D46,1),'PNW Solar Zones'!$A$2:$D$6,4,FALSE)</f>
        <v>0</v>
      </c>
      <c r="X46" s="36">
        <f>VLOOKUP($C46,$C$33:$Y$36,X$31,FALSE)*$C$42*$A46/8760/1000*VLOOKUP(1*RIGHT($D46,1),'PNW Solar Zones'!$A$2:$D$6,4,FALSE)</f>
        <v>0</v>
      </c>
      <c r="Y46" s="36">
        <f t="shared" si="18"/>
        <v>0</v>
      </c>
      <c r="AA46" s="41"/>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63">
        <f t="shared" si="15"/>
        <v>1504.9652488616637</v>
      </c>
      <c r="B47" s="63">
        <f t="shared" si="16"/>
        <v>534.94726319905465</v>
      </c>
      <c r="C47" s="9" t="s">
        <v>48</v>
      </c>
      <c r="D47" t="s">
        <v>364</v>
      </c>
      <c r="E47" s="36">
        <f>VLOOKUP($C47,$C$33:$Y$36,E$31,FALSE)*$C$42*$A47/8760/1000*VLOOKUP(1*RIGHT($D47,1),'PNW Solar Zones'!$A$2:$D$6,4,FALSE)</f>
        <v>0</v>
      </c>
      <c r="F47" s="36">
        <f>VLOOKUP($C47,$C$33:$Y$36,F$31,FALSE)*$C$42*$A47/8760/1000*VLOOKUP(1*RIGHT($D47,1),'PNW Solar Zones'!$A$2:$D$6,4,FALSE)</f>
        <v>0</v>
      </c>
      <c r="G47" s="36">
        <f>VLOOKUP($C47,$C$33:$Y$36,G$31,FALSE)*$C$42*$A47/8760/1000*VLOOKUP(1*RIGHT($D47,1),'PNW Solar Zones'!$A$2:$D$6,4,FALSE)</f>
        <v>0</v>
      </c>
      <c r="H47" s="36">
        <f>VLOOKUP($C47,$C$33:$Y$36,H$31,FALSE)*$C$42*$A47/8760/1000*VLOOKUP(1*RIGHT($D47,1),'PNW Solar Zones'!$A$2:$D$6,4,FALSE)</f>
        <v>0</v>
      </c>
      <c r="I47" s="36">
        <f>VLOOKUP($C47,$C$33:$Y$36,I$31,FALSE)*$C$42*$A47/8760/1000*VLOOKUP(1*RIGHT($D47,1),'PNW Solar Zones'!$A$2:$D$6,4,FALSE)</f>
        <v>0</v>
      </c>
      <c r="J47" s="36">
        <f>VLOOKUP($C47,$C$33:$Y$36,J$31,FALSE)*$C$42*$A47/8760/1000*VLOOKUP(1*RIGHT($D47,1),'PNW Solar Zones'!$A$2:$D$6,4,FALSE)</f>
        <v>0</v>
      </c>
      <c r="K47" s="36">
        <f>VLOOKUP($C47,$C$33:$Y$36,K$31,FALSE)*$C$42*$A47/8760/1000*VLOOKUP(1*RIGHT($D47,1),'PNW Solar Zones'!$A$2:$D$6,4,FALSE)</f>
        <v>0</v>
      </c>
      <c r="L47" s="36">
        <f>VLOOKUP($C47,$C$33:$Y$36,L$31,FALSE)*$C$42*$A47/8760/1000*VLOOKUP(1*RIGHT($D47,1),'PNW Solar Zones'!$A$2:$D$6,4,FALSE)</f>
        <v>0</v>
      </c>
      <c r="M47" s="36">
        <f>VLOOKUP($C47,$C$33:$Y$36,M$31,FALSE)*$C$42*$A47/8760/1000*VLOOKUP(1*RIGHT($D47,1),'PNW Solar Zones'!$A$2:$D$6,4,FALSE)</f>
        <v>0</v>
      </c>
      <c r="N47" s="36">
        <f>VLOOKUP($C47,$C$33:$Y$36,N$31,FALSE)*$C$42*$A47/8760/1000*VLOOKUP(1*RIGHT($D47,1),'PNW Solar Zones'!$A$2:$D$6,4,FALSE)</f>
        <v>0</v>
      </c>
      <c r="O47" s="36">
        <f>VLOOKUP($C47,$C$33:$Y$36,O$31,FALSE)*$C$42*$A47/8760/1000*VLOOKUP(1*RIGHT($D47,1),'PNW Solar Zones'!$A$2:$D$6,4,FALSE)</f>
        <v>0</v>
      </c>
      <c r="P47" s="36">
        <f>VLOOKUP($C47,$C$33:$Y$36,P$31,FALSE)*$C$42*$A47/8760/1000*VLOOKUP(1*RIGHT($D47,1),'PNW Solar Zones'!$A$2:$D$6,4,FALSE)</f>
        <v>0</v>
      </c>
      <c r="Q47" s="36">
        <f>VLOOKUP($C47,$C$33:$Y$36,Q$31,FALSE)*$C$42*$A47/8760/1000*VLOOKUP(1*RIGHT($D47,1),'PNW Solar Zones'!$A$2:$D$6,4,FALSE)</f>
        <v>0</v>
      </c>
      <c r="R47" s="36">
        <f>VLOOKUP($C47,$C$33:$Y$36,R$31,FALSE)*$C$42*$A47/8760/1000*VLOOKUP(1*RIGHT($D47,1),'PNW Solar Zones'!$A$2:$D$6,4,FALSE)</f>
        <v>0</v>
      </c>
      <c r="S47" s="36">
        <f>VLOOKUP($C47,$C$33:$Y$36,S$31,FALSE)*$C$42*$A47/8760/1000*VLOOKUP(1*RIGHT($D47,1),'PNW Solar Zones'!$A$2:$D$6,4,FALSE)</f>
        <v>0</v>
      </c>
      <c r="T47" s="36">
        <f>VLOOKUP($C47,$C$33:$Y$36,T$31,FALSE)*$C$42*$A47/8760/1000*VLOOKUP(1*RIGHT($D47,1),'PNW Solar Zones'!$A$2:$D$6,4,FALSE)</f>
        <v>0</v>
      </c>
      <c r="U47" s="36">
        <f>VLOOKUP($C47,$C$33:$Y$36,U$31,FALSE)*$C$42*$A47/8760/1000*VLOOKUP(1*RIGHT($D47,1),'PNW Solar Zones'!$A$2:$D$6,4,FALSE)</f>
        <v>0</v>
      </c>
      <c r="V47" s="36">
        <f>VLOOKUP($C47,$C$33:$Y$36,V$31,FALSE)*$C$42*$A47/8760/1000*VLOOKUP(1*RIGHT($D47,1),'PNW Solar Zones'!$A$2:$D$6,4,FALSE)</f>
        <v>0</v>
      </c>
      <c r="W47" s="36">
        <f>VLOOKUP($C47,$C$33:$Y$36,W$31,FALSE)*$C$42*$A47/8760/1000*VLOOKUP(1*RIGHT($D47,1),'PNW Solar Zones'!$A$2:$D$6,4,FALSE)</f>
        <v>0</v>
      </c>
      <c r="X47" s="36">
        <f>VLOOKUP($C47,$C$33:$Y$36,X$31,FALSE)*$C$42*$A47/8760/1000*VLOOKUP(1*RIGHT($D47,1),'PNW Solar Zones'!$A$2:$D$6,4,FALSE)</f>
        <v>0</v>
      </c>
      <c r="Y47" s="36">
        <f t="shared" si="18"/>
        <v>0</v>
      </c>
      <c r="AA47" s="41">
        <f t="shared" si="17"/>
        <v>0</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63">
        <f t="shared" si="15"/>
        <v>1143.7735891348643</v>
      </c>
      <c r="B48" s="63">
        <f t="shared" si="16"/>
        <v>706.87339201859641</v>
      </c>
      <c r="C48" s="9" t="str">
        <f>C24</f>
        <v>Multifamily - Low Rise</v>
      </c>
      <c r="D48" t="s">
        <v>361</v>
      </c>
      <c r="E48" s="36">
        <f>VLOOKUP($C48,$C$33:$Y$36,E$31,FALSE)*$C$42*$A48/8760/1000*VLOOKUP(1*RIGHT($D48,1),'PNW Solar Zones'!$A$2:$D$6,4,FALSE)</f>
        <v>0</v>
      </c>
      <c r="F48" s="36">
        <f>VLOOKUP($C48,$C$33:$Y$36,F$31,FALSE)*$C$42*$A48/8760/1000*VLOOKUP(1*RIGHT($D48,1),'PNW Solar Zones'!$A$2:$D$6,4,FALSE)</f>
        <v>0</v>
      </c>
      <c r="G48" s="36">
        <f>VLOOKUP($C48,$C$33:$Y$36,G$31,FALSE)*$C$42*$A48/8760/1000*VLOOKUP(1*RIGHT($D48,1),'PNW Solar Zones'!$A$2:$D$6,4,FALSE)</f>
        <v>0</v>
      </c>
      <c r="H48" s="36">
        <f>VLOOKUP($C48,$C$33:$Y$36,H$31,FALSE)*$C$42*$A48/8760/1000*VLOOKUP(1*RIGHT($D48,1),'PNW Solar Zones'!$A$2:$D$6,4,FALSE)</f>
        <v>0</v>
      </c>
      <c r="I48" s="36">
        <f>VLOOKUP($C48,$C$33:$Y$36,I$31,FALSE)*$C$42*$A48/8760/1000*VLOOKUP(1*RIGHT($D48,1),'PNW Solar Zones'!$A$2:$D$6,4,FALSE)</f>
        <v>0</v>
      </c>
      <c r="J48" s="36">
        <f>VLOOKUP($C48,$C$33:$Y$36,J$31,FALSE)*$C$42*$A48/8760/1000*VLOOKUP(1*RIGHT($D48,1),'PNW Solar Zones'!$A$2:$D$6,4,FALSE)</f>
        <v>0</v>
      </c>
      <c r="K48" s="36">
        <f>VLOOKUP($C48,$C$33:$Y$36,K$31,FALSE)*$C$42*$A48/8760/1000*VLOOKUP(1*RIGHT($D48,1),'PNW Solar Zones'!$A$2:$D$6,4,FALSE)</f>
        <v>0</v>
      </c>
      <c r="L48" s="36">
        <f>VLOOKUP($C48,$C$33:$Y$36,L$31,FALSE)*$C$42*$A48/8760/1000*VLOOKUP(1*RIGHT($D48,1),'PNW Solar Zones'!$A$2:$D$6,4,FALSE)</f>
        <v>0</v>
      </c>
      <c r="M48" s="36">
        <f>VLOOKUP($C48,$C$33:$Y$36,M$31,FALSE)*$C$42*$A48/8760/1000*VLOOKUP(1*RIGHT($D48,1),'PNW Solar Zones'!$A$2:$D$6,4,FALSE)</f>
        <v>0</v>
      </c>
      <c r="N48" s="36">
        <f>VLOOKUP($C48,$C$33:$Y$36,N$31,FALSE)*$C$42*$A48/8760/1000*VLOOKUP(1*RIGHT($D48,1),'PNW Solar Zones'!$A$2:$D$6,4,FALSE)</f>
        <v>0</v>
      </c>
      <c r="O48" s="36">
        <f>VLOOKUP($C48,$C$33:$Y$36,O$31,FALSE)*$C$42*$A48/8760/1000*VLOOKUP(1*RIGHT($D48,1),'PNW Solar Zones'!$A$2:$D$6,4,FALSE)</f>
        <v>0</v>
      </c>
      <c r="P48" s="36">
        <f>VLOOKUP($C48,$C$33:$Y$36,P$31,FALSE)*$C$42*$A48/8760/1000*VLOOKUP(1*RIGHT($D48,1),'PNW Solar Zones'!$A$2:$D$6,4,FALSE)</f>
        <v>0</v>
      </c>
      <c r="Q48" s="36">
        <f>VLOOKUP($C48,$C$33:$Y$36,Q$31,FALSE)*$C$42*$A48/8760/1000*VLOOKUP(1*RIGHT($D48,1),'PNW Solar Zones'!$A$2:$D$6,4,FALSE)</f>
        <v>0</v>
      </c>
      <c r="R48" s="36">
        <f>VLOOKUP($C48,$C$33:$Y$36,R$31,FALSE)*$C$42*$A48/8760/1000*VLOOKUP(1*RIGHT($D48,1),'PNW Solar Zones'!$A$2:$D$6,4,FALSE)</f>
        <v>0</v>
      </c>
      <c r="S48" s="36">
        <f>VLOOKUP($C48,$C$33:$Y$36,S$31,FALSE)*$C$42*$A48/8760/1000*VLOOKUP(1*RIGHT($D48,1),'PNW Solar Zones'!$A$2:$D$6,4,FALSE)</f>
        <v>0</v>
      </c>
      <c r="T48" s="36">
        <f>VLOOKUP($C48,$C$33:$Y$36,T$31,FALSE)*$C$42*$A48/8760/1000*VLOOKUP(1*RIGHT($D48,1),'PNW Solar Zones'!$A$2:$D$6,4,FALSE)</f>
        <v>0</v>
      </c>
      <c r="U48" s="36">
        <f>VLOOKUP($C48,$C$33:$Y$36,U$31,FALSE)*$C$42*$A48/8760/1000*VLOOKUP(1*RIGHT($D48,1),'PNW Solar Zones'!$A$2:$D$6,4,FALSE)</f>
        <v>0</v>
      </c>
      <c r="V48" s="36">
        <f>VLOOKUP($C48,$C$33:$Y$36,V$31,FALSE)*$C$42*$A48/8760/1000*VLOOKUP(1*RIGHT($D48,1),'PNW Solar Zones'!$A$2:$D$6,4,FALSE)</f>
        <v>0</v>
      </c>
      <c r="W48" s="36">
        <f>VLOOKUP($C48,$C$33:$Y$36,W$31,FALSE)*$C$42*$A48/8760/1000*VLOOKUP(1*RIGHT($D48,1),'PNW Solar Zones'!$A$2:$D$6,4,FALSE)</f>
        <v>0</v>
      </c>
      <c r="X48" s="36">
        <f>VLOOKUP($C48,$C$33:$Y$36,X$31,FALSE)*$C$42*$A48/8760/1000*VLOOKUP(1*RIGHT($D48,1),'PNW Solar Zones'!$A$2:$D$6,4,FALSE)</f>
        <v>0</v>
      </c>
      <c r="Y48" s="36">
        <f t="shared" si="18"/>
        <v>0</v>
      </c>
      <c r="AA48" s="41">
        <f t="shared" ref="AA48:AA49" si="19">SUM(E48:Y48)</f>
        <v>0</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3">
        <f t="shared" si="15"/>
        <v>1203.9721990893308</v>
      </c>
      <c r="B49" s="63">
        <f t="shared" si="16"/>
        <v>671.05544851452532</v>
      </c>
      <c r="C49" s="9" t="s">
        <v>49</v>
      </c>
      <c r="D49" t="s">
        <v>362</v>
      </c>
      <c r="E49" s="36">
        <f>VLOOKUP($C49,$C$33:$Y$36,E$31,FALSE)*$C$42*$A49/8760/1000*VLOOKUP(1*RIGHT($D49,1),'PNW Solar Zones'!$A$2:$D$6,4,FALSE)</f>
        <v>0</v>
      </c>
      <c r="F49" s="36">
        <f>VLOOKUP($C49,$C$33:$Y$36,F$31,FALSE)*$C$42*$A49/8760/1000*VLOOKUP(1*RIGHT($D49,1),'PNW Solar Zones'!$A$2:$D$6,4,FALSE)</f>
        <v>0</v>
      </c>
      <c r="G49" s="36">
        <f>VLOOKUP($C49,$C$33:$Y$36,G$31,FALSE)*$C$42*$A49/8760/1000*VLOOKUP(1*RIGHT($D49,1),'PNW Solar Zones'!$A$2:$D$6,4,FALSE)</f>
        <v>0</v>
      </c>
      <c r="H49" s="36">
        <f>VLOOKUP($C49,$C$33:$Y$36,H$31,FALSE)*$C$42*$A49/8760/1000*VLOOKUP(1*RIGHT($D49,1),'PNW Solar Zones'!$A$2:$D$6,4,FALSE)</f>
        <v>0</v>
      </c>
      <c r="I49" s="36">
        <f>VLOOKUP($C49,$C$33:$Y$36,I$31,FALSE)*$C$42*$A49/8760/1000*VLOOKUP(1*RIGHT($D49,1),'PNW Solar Zones'!$A$2:$D$6,4,FALSE)</f>
        <v>0</v>
      </c>
      <c r="J49" s="36">
        <f>VLOOKUP($C49,$C$33:$Y$36,J$31,FALSE)*$C$42*$A49/8760/1000*VLOOKUP(1*RIGHT($D49,1),'PNW Solar Zones'!$A$2:$D$6,4,FALSE)</f>
        <v>0</v>
      </c>
      <c r="K49" s="36">
        <f>VLOOKUP($C49,$C$33:$Y$36,K$31,FALSE)*$C$42*$A49/8760/1000*VLOOKUP(1*RIGHT($D49,1),'PNW Solar Zones'!$A$2:$D$6,4,FALSE)</f>
        <v>0</v>
      </c>
      <c r="L49" s="36">
        <f>VLOOKUP($C49,$C$33:$Y$36,L$31,FALSE)*$C$42*$A49/8760/1000*VLOOKUP(1*RIGHT($D49,1),'PNW Solar Zones'!$A$2:$D$6,4,FALSE)</f>
        <v>0</v>
      </c>
      <c r="M49" s="36">
        <f>VLOOKUP($C49,$C$33:$Y$36,M$31,FALSE)*$C$42*$A49/8760/1000*VLOOKUP(1*RIGHT($D49,1),'PNW Solar Zones'!$A$2:$D$6,4,FALSE)</f>
        <v>0</v>
      </c>
      <c r="N49" s="36">
        <f>VLOOKUP($C49,$C$33:$Y$36,N$31,FALSE)*$C$42*$A49/8760/1000*VLOOKUP(1*RIGHT($D49,1),'PNW Solar Zones'!$A$2:$D$6,4,FALSE)</f>
        <v>0</v>
      </c>
      <c r="O49" s="36">
        <f>VLOOKUP($C49,$C$33:$Y$36,O$31,FALSE)*$C$42*$A49/8760/1000*VLOOKUP(1*RIGHT($D49,1),'PNW Solar Zones'!$A$2:$D$6,4,FALSE)</f>
        <v>0</v>
      </c>
      <c r="P49" s="36">
        <f>VLOOKUP($C49,$C$33:$Y$36,P$31,FALSE)*$C$42*$A49/8760/1000*VLOOKUP(1*RIGHT($D49,1),'PNW Solar Zones'!$A$2:$D$6,4,FALSE)</f>
        <v>0</v>
      </c>
      <c r="Q49" s="36">
        <f>VLOOKUP($C49,$C$33:$Y$36,Q$31,FALSE)*$C$42*$A49/8760/1000*VLOOKUP(1*RIGHT($D49,1),'PNW Solar Zones'!$A$2:$D$6,4,FALSE)</f>
        <v>0</v>
      </c>
      <c r="R49" s="36">
        <f>VLOOKUP($C49,$C$33:$Y$36,R$31,FALSE)*$C$42*$A49/8760/1000*VLOOKUP(1*RIGHT($D49,1),'PNW Solar Zones'!$A$2:$D$6,4,FALSE)</f>
        <v>0</v>
      </c>
      <c r="S49" s="36">
        <f>VLOOKUP($C49,$C$33:$Y$36,S$31,FALSE)*$C$42*$A49/8760/1000*VLOOKUP(1*RIGHT($D49,1),'PNW Solar Zones'!$A$2:$D$6,4,FALSE)</f>
        <v>0</v>
      </c>
      <c r="T49" s="36">
        <f>VLOOKUP($C49,$C$33:$Y$36,T$31,FALSE)*$C$42*$A49/8760/1000*VLOOKUP(1*RIGHT($D49,1),'PNW Solar Zones'!$A$2:$D$6,4,FALSE)</f>
        <v>0</v>
      </c>
      <c r="U49" s="36">
        <f>VLOOKUP($C49,$C$33:$Y$36,U$31,FALSE)*$C$42*$A49/8760/1000*VLOOKUP(1*RIGHT($D49,1),'PNW Solar Zones'!$A$2:$D$6,4,FALSE)</f>
        <v>0</v>
      </c>
      <c r="V49" s="36">
        <f>VLOOKUP($C49,$C$33:$Y$36,V$31,FALSE)*$C$42*$A49/8760/1000*VLOOKUP(1*RIGHT($D49,1),'PNW Solar Zones'!$A$2:$D$6,4,FALSE)</f>
        <v>0</v>
      </c>
      <c r="W49" s="36">
        <f>VLOOKUP($C49,$C$33:$Y$36,W$31,FALSE)*$C$42*$A49/8760/1000*VLOOKUP(1*RIGHT($D49,1),'PNW Solar Zones'!$A$2:$D$6,4,FALSE)</f>
        <v>0</v>
      </c>
      <c r="X49" s="36">
        <f>VLOOKUP($C49,$C$33:$Y$36,X$31,FALSE)*$C$42*$A49/8760/1000*VLOOKUP(1*RIGHT($D49,1),'PNW Solar Zones'!$A$2:$D$6,4,FALSE)</f>
        <v>0</v>
      </c>
      <c r="Y49" s="36">
        <f t="shared" si="18"/>
        <v>0</v>
      </c>
      <c r="AA49" s="41">
        <f t="shared" si="19"/>
        <v>0</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50" s="63">
        <f t="shared" si="15"/>
        <v>1294.2701140210308</v>
      </c>
      <c r="B50" s="63">
        <f t="shared" si="16"/>
        <v>623.57584898587277</v>
      </c>
      <c r="C50" s="9" t="s">
        <v>49</v>
      </c>
      <c r="D50" t="s">
        <v>363</v>
      </c>
      <c r="E50" s="36">
        <f>VLOOKUP($C50,$C$33:$Y$36,E$31,FALSE)*$C$42*$A50/8760/1000*VLOOKUP(1*RIGHT($D50,1),'PNW Solar Zones'!$A$2:$D$6,4,FALSE)</f>
        <v>0</v>
      </c>
      <c r="F50" s="36">
        <f>VLOOKUP($C50,$C$33:$Y$36,F$31,FALSE)*$C$42*$A50/8760/1000*VLOOKUP(1*RIGHT($D50,1),'PNW Solar Zones'!$A$2:$D$6,4,FALSE)</f>
        <v>0</v>
      </c>
      <c r="G50" s="36">
        <f>VLOOKUP($C50,$C$33:$Y$36,G$31,FALSE)*$C$42*$A50/8760/1000*VLOOKUP(1*RIGHT($D50,1),'PNW Solar Zones'!$A$2:$D$6,4,FALSE)</f>
        <v>0</v>
      </c>
      <c r="H50" s="36">
        <f>VLOOKUP($C50,$C$33:$Y$36,H$31,FALSE)*$C$42*$A50/8760/1000*VLOOKUP(1*RIGHT($D50,1),'PNW Solar Zones'!$A$2:$D$6,4,FALSE)</f>
        <v>0</v>
      </c>
      <c r="I50" s="36">
        <f>VLOOKUP($C50,$C$33:$Y$36,I$31,FALSE)*$C$42*$A50/8760/1000*VLOOKUP(1*RIGHT($D50,1),'PNW Solar Zones'!$A$2:$D$6,4,FALSE)</f>
        <v>0</v>
      </c>
      <c r="J50" s="36">
        <f>VLOOKUP($C50,$C$33:$Y$36,J$31,FALSE)*$C$42*$A50/8760/1000*VLOOKUP(1*RIGHT($D50,1),'PNW Solar Zones'!$A$2:$D$6,4,FALSE)</f>
        <v>0</v>
      </c>
      <c r="K50" s="36">
        <f>VLOOKUP($C50,$C$33:$Y$36,K$31,FALSE)*$C$42*$A50/8760/1000*VLOOKUP(1*RIGHT($D50,1),'PNW Solar Zones'!$A$2:$D$6,4,FALSE)</f>
        <v>0</v>
      </c>
      <c r="L50" s="36">
        <f>VLOOKUP($C50,$C$33:$Y$36,L$31,FALSE)*$C$42*$A50/8760/1000*VLOOKUP(1*RIGHT($D50,1),'PNW Solar Zones'!$A$2:$D$6,4,FALSE)</f>
        <v>0</v>
      </c>
      <c r="M50" s="36">
        <f>VLOOKUP($C50,$C$33:$Y$36,M$31,FALSE)*$C$42*$A50/8760/1000*VLOOKUP(1*RIGHT($D50,1),'PNW Solar Zones'!$A$2:$D$6,4,FALSE)</f>
        <v>0</v>
      </c>
      <c r="N50" s="36">
        <f>VLOOKUP($C50,$C$33:$Y$36,N$31,FALSE)*$C$42*$A50/8760/1000*VLOOKUP(1*RIGHT($D50,1),'PNW Solar Zones'!$A$2:$D$6,4,FALSE)</f>
        <v>0</v>
      </c>
      <c r="O50" s="36">
        <f>VLOOKUP($C50,$C$33:$Y$36,O$31,FALSE)*$C$42*$A50/8760/1000*VLOOKUP(1*RIGHT($D50,1),'PNW Solar Zones'!$A$2:$D$6,4,FALSE)</f>
        <v>0</v>
      </c>
      <c r="P50" s="36">
        <f>VLOOKUP($C50,$C$33:$Y$36,P$31,FALSE)*$C$42*$A50/8760/1000*VLOOKUP(1*RIGHT($D50,1),'PNW Solar Zones'!$A$2:$D$6,4,FALSE)</f>
        <v>0</v>
      </c>
      <c r="Q50" s="36">
        <f>VLOOKUP($C50,$C$33:$Y$36,Q$31,FALSE)*$C$42*$A50/8760/1000*VLOOKUP(1*RIGHT($D50,1),'PNW Solar Zones'!$A$2:$D$6,4,FALSE)</f>
        <v>0</v>
      </c>
      <c r="R50" s="36">
        <f>VLOOKUP($C50,$C$33:$Y$36,R$31,FALSE)*$C$42*$A50/8760/1000*VLOOKUP(1*RIGHT($D50,1),'PNW Solar Zones'!$A$2:$D$6,4,FALSE)</f>
        <v>0</v>
      </c>
      <c r="S50" s="36">
        <f>VLOOKUP($C50,$C$33:$Y$36,S$31,FALSE)*$C$42*$A50/8760/1000*VLOOKUP(1*RIGHT($D50,1),'PNW Solar Zones'!$A$2:$D$6,4,FALSE)</f>
        <v>0</v>
      </c>
      <c r="T50" s="36">
        <f>VLOOKUP($C50,$C$33:$Y$36,T$31,FALSE)*$C$42*$A50/8760/1000*VLOOKUP(1*RIGHT($D50,1),'PNW Solar Zones'!$A$2:$D$6,4,FALSE)</f>
        <v>0</v>
      </c>
      <c r="U50" s="36">
        <f>VLOOKUP($C50,$C$33:$Y$36,U$31,FALSE)*$C$42*$A50/8760/1000*VLOOKUP(1*RIGHT($D50,1),'PNW Solar Zones'!$A$2:$D$6,4,FALSE)</f>
        <v>0</v>
      </c>
      <c r="V50" s="36">
        <f>VLOOKUP($C50,$C$33:$Y$36,V$31,FALSE)*$C$42*$A50/8760/1000*VLOOKUP(1*RIGHT($D50,1),'PNW Solar Zones'!$A$2:$D$6,4,FALSE)</f>
        <v>0</v>
      </c>
      <c r="W50" s="36">
        <f>VLOOKUP($C50,$C$33:$Y$36,W$31,FALSE)*$C$42*$A50/8760/1000*VLOOKUP(1*RIGHT($D50,1),'PNW Solar Zones'!$A$2:$D$6,4,FALSE)</f>
        <v>0</v>
      </c>
      <c r="X50" s="36">
        <f>VLOOKUP($C50,$C$33:$Y$36,X$31,FALSE)*$C$42*$A50/8760/1000*VLOOKUP(1*RIGHT($D50,1),'PNW Solar Zones'!$A$2:$D$6,4,FALSE)</f>
        <v>0</v>
      </c>
      <c r="Y50" s="36">
        <f t="shared" si="18"/>
        <v>0</v>
      </c>
      <c r="AA50" s="41"/>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63">
        <f t="shared" si="15"/>
        <v>1504.9652488616637</v>
      </c>
      <c r="B51" s="63">
        <f t="shared" si="16"/>
        <v>534.94726319905465</v>
      </c>
      <c r="C51" s="9" t="s">
        <v>49</v>
      </c>
      <c r="D51" t="s">
        <v>364</v>
      </c>
      <c r="E51" s="36">
        <f>VLOOKUP($C51,$C$33:$Y$36,E$31,FALSE)*$C$42*$A51/8760/1000*VLOOKUP(1*RIGHT($D51,1),'PNW Solar Zones'!$A$2:$D$6,4,FALSE)</f>
        <v>0</v>
      </c>
      <c r="F51" s="36">
        <f>VLOOKUP($C51,$C$33:$Y$36,F$31,FALSE)*$C$42*$A51/8760/1000*VLOOKUP(1*RIGHT($D51,1),'PNW Solar Zones'!$A$2:$D$6,4,FALSE)</f>
        <v>0</v>
      </c>
      <c r="G51" s="36">
        <f>VLOOKUP($C51,$C$33:$Y$36,G$31,FALSE)*$C$42*$A51/8760/1000*VLOOKUP(1*RIGHT($D51,1),'PNW Solar Zones'!$A$2:$D$6,4,FALSE)</f>
        <v>0</v>
      </c>
      <c r="H51" s="36">
        <f>VLOOKUP($C51,$C$33:$Y$36,H$31,FALSE)*$C$42*$A51/8760/1000*VLOOKUP(1*RIGHT($D51,1),'PNW Solar Zones'!$A$2:$D$6,4,FALSE)</f>
        <v>0</v>
      </c>
      <c r="I51" s="36">
        <f>VLOOKUP($C51,$C$33:$Y$36,I$31,FALSE)*$C$42*$A51/8760/1000*VLOOKUP(1*RIGHT($D51,1),'PNW Solar Zones'!$A$2:$D$6,4,FALSE)</f>
        <v>0</v>
      </c>
      <c r="J51" s="36">
        <f>VLOOKUP($C51,$C$33:$Y$36,J$31,FALSE)*$C$42*$A51/8760/1000*VLOOKUP(1*RIGHT($D51,1),'PNW Solar Zones'!$A$2:$D$6,4,FALSE)</f>
        <v>0</v>
      </c>
      <c r="K51" s="36">
        <f>VLOOKUP($C51,$C$33:$Y$36,K$31,FALSE)*$C$42*$A51/8760/1000*VLOOKUP(1*RIGHT($D51,1),'PNW Solar Zones'!$A$2:$D$6,4,FALSE)</f>
        <v>0</v>
      </c>
      <c r="L51" s="36">
        <f>VLOOKUP($C51,$C$33:$Y$36,L$31,FALSE)*$C$42*$A51/8760/1000*VLOOKUP(1*RIGHT($D51,1),'PNW Solar Zones'!$A$2:$D$6,4,FALSE)</f>
        <v>0</v>
      </c>
      <c r="M51" s="36">
        <f>VLOOKUP($C51,$C$33:$Y$36,M$31,FALSE)*$C$42*$A51/8760/1000*VLOOKUP(1*RIGHT($D51,1),'PNW Solar Zones'!$A$2:$D$6,4,FALSE)</f>
        <v>0</v>
      </c>
      <c r="N51" s="36">
        <f>VLOOKUP($C51,$C$33:$Y$36,N$31,FALSE)*$C$42*$A51/8760/1000*VLOOKUP(1*RIGHT($D51,1),'PNW Solar Zones'!$A$2:$D$6,4,FALSE)</f>
        <v>0</v>
      </c>
      <c r="O51" s="36">
        <f>VLOOKUP($C51,$C$33:$Y$36,O$31,FALSE)*$C$42*$A51/8760/1000*VLOOKUP(1*RIGHT($D51,1),'PNW Solar Zones'!$A$2:$D$6,4,FALSE)</f>
        <v>0</v>
      </c>
      <c r="P51" s="36">
        <f>VLOOKUP($C51,$C$33:$Y$36,P$31,FALSE)*$C$42*$A51/8760/1000*VLOOKUP(1*RIGHT($D51,1),'PNW Solar Zones'!$A$2:$D$6,4,FALSE)</f>
        <v>0</v>
      </c>
      <c r="Q51" s="36">
        <f>VLOOKUP($C51,$C$33:$Y$36,Q$31,FALSE)*$C$42*$A51/8760/1000*VLOOKUP(1*RIGHT($D51,1),'PNW Solar Zones'!$A$2:$D$6,4,FALSE)</f>
        <v>0</v>
      </c>
      <c r="R51" s="36">
        <f>VLOOKUP($C51,$C$33:$Y$36,R$31,FALSE)*$C$42*$A51/8760/1000*VLOOKUP(1*RIGHT($D51,1),'PNW Solar Zones'!$A$2:$D$6,4,FALSE)</f>
        <v>0</v>
      </c>
      <c r="S51" s="36">
        <f>VLOOKUP($C51,$C$33:$Y$36,S$31,FALSE)*$C$42*$A51/8760/1000*VLOOKUP(1*RIGHT($D51,1),'PNW Solar Zones'!$A$2:$D$6,4,FALSE)</f>
        <v>0</v>
      </c>
      <c r="T51" s="36">
        <f>VLOOKUP($C51,$C$33:$Y$36,T$31,FALSE)*$C$42*$A51/8760/1000*VLOOKUP(1*RIGHT($D51,1),'PNW Solar Zones'!$A$2:$D$6,4,FALSE)</f>
        <v>0</v>
      </c>
      <c r="U51" s="36">
        <f>VLOOKUP($C51,$C$33:$Y$36,U$31,FALSE)*$C$42*$A51/8760/1000*VLOOKUP(1*RIGHT($D51,1),'PNW Solar Zones'!$A$2:$D$6,4,FALSE)</f>
        <v>0</v>
      </c>
      <c r="V51" s="36">
        <f>VLOOKUP($C51,$C$33:$Y$36,V$31,FALSE)*$C$42*$A51/8760/1000*VLOOKUP(1*RIGHT($D51,1),'PNW Solar Zones'!$A$2:$D$6,4,FALSE)</f>
        <v>0</v>
      </c>
      <c r="W51" s="36">
        <f>VLOOKUP($C51,$C$33:$Y$36,W$31,FALSE)*$C$42*$A51/8760/1000*VLOOKUP(1*RIGHT($D51,1),'PNW Solar Zones'!$A$2:$D$6,4,FALSE)</f>
        <v>0</v>
      </c>
      <c r="X51" s="36">
        <f>VLOOKUP($C51,$C$33:$Y$36,X$31,FALSE)*$C$42*$A51/8760/1000*VLOOKUP(1*RIGHT($D51,1),'PNW Solar Zones'!$A$2:$D$6,4,FALSE)</f>
        <v>0</v>
      </c>
      <c r="Y51" s="36">
        <f t="shared" si="18"/>
        <v>0</v>
      </c>
      <c r="AA51" s="41">
        <f t="shared" ref="AA51" si="20">SUM(E51:Y51)</f>
        <v>0</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63"/>
      <c r="B52" s="63"/>
      <c r="D52"/>
      <c r="E52" s="36"/>
      <c r="F52" s="36"/>
      <c r="G52" s="36"/>
      <c r="H52" s="36"/>
      <c r="I52" s="36"/>
      <c r="J52" s="36"/>
      <c r="K52" s="36"/>
      <c r="L52" s="36"/>
      <c r="M52" s="36"/>
      <c r="N52" s="36"/>
      <c r="O52" s="36"/>
      <c r="P52" s="36"/>
      <c r="Q52" s="36"/>
      <c r="R52" s="36"/>
      <c r="S52" s="36"/>
      <c r="T52" s="36"/>
      <c r="U52" s="36"/>
      <c r="V52" s="36"/>
      <c r="W52" s="36"/>
      <c r="X52" s="36"/>
      <c r="Y52" s="36"/>
      <c r="AA52" s="41"/>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A53" s="41"/>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B54" s="73" t="e">
        <f>SUMPRODUCT(B44:B47,AA44:AA47)/SUM(AA44:AA47)</f>
        <v>#DIV/0!</v>
      </c>
      <c r="E54" s="36">
        <f>SUM(E44:E52)</f>
        <v>0</v>
      </c>
      <c r="F54" s="36">
        <f t="shared" ref="F54:Y54" si="21">SUM(F44:F52)</f>
        <v>0</v>
      </c>
      <c r="G54" s="36">
        <f t="shared" si="21"/>
        <v>0</v>
      </c>
      <c r="H54" s="36">
        <f t="shared" si="21"/>
        <v>0</v>
      </c>
      <c r="I54" s="36">
        <f t="shared" si="21"/>
        <v>0</v>
      </c>
      <c r="J54" s="36">
        <f t="shared" si="21"/>
        <v>0</v>
      </c>
      <c r="K54" s="36">
        <f t="shared" si="21"/>
        <v>0</v>
      </c>
      <c r="L54" s="36">
        <f t="shared" si="21"/>
        <v>0</v>
      </c>
      <c r="M54" s="36">
        <f t="shared" si="21"/>
        <v>0</v>
      </c>
      <c r="N54" s="36">
        <f t="shared" si="21"/>
        <v>0</v>
      </c>
      <c r="O54" s="36">
        <f t="shared" si="21"/>
        <v>0</v>
      </c>
      <c r="P54" s="36">
        <f t="shared" si="21"/>
        <v>0</v>
      </c>
      <c r="Q54" s="36">
        <f t="shared" si="21"/>
        <v>0</v>
      </c>
      <c r="R54" s="36">
        <f t="shared" si="21"/>
        <v>0</v>
      </c>
      <c r="S54" s="36">
        <f t="shared" si="21"/>
        <v>0</v>
      </c>
      <c r="T54" s="36">
        <f t="shared" si="21"/>
        <v>0</v>
      </c>
      <c r="U54" s="36">
        <f t="shared" si="21"/>
        <v>0</v>
      </c>
      <c r="V54" s="36">
        <f t="shared" si="21"/>
        <v>0</v>
      </c>
      <c r="W54" s="36">
        <f t="shared" si="21"/>
        <v>0</v>
      </c>
      <c r="X54" s="36">
        <f t="shared" si="21"/>
        <v>0</v>
      </c>
      <c r="Y54" s="36">
        <f t="shared" si="21"/>
        <v>0</v>
      </c>
      <c r="AA54" s="41">
        <f t="shared" si="17"/>
        <v>0</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E55" s="36">
        <f>E54</f>
        <v>0</v>
      </c>
      <c r="F55" s="36">
        <f>F54+E55</f>
        <v>0</v>
      </c>
      <c r="G55" s="36">
        <f t="shared" ref="G55:X55" si="22">G54+F55</f>
        <v>0</v>
      </c>
      <c r="H55" s="36">
        <f t="shared" si="22"/>
        <v>0</v>
      </c>
      <c r="I55" s="36">
        <f t="shared" si="22"/>
        <v>0</v>
      </c>
      <c r="J55" s="36">
        <f t="shared" si="22"/>
        <v>0</v>
      </c>
      <c r="K55" s="36">
        <f t="shared" si="22"/>
        <v>0</v>
      </c>
      <c r="L55" s="36">
        <f t="shared" si="22"/>
        <v>0</v>
      </c>
      <c r="M55" s="36">
        <f t="shared" si="22"/>
        <v>0</v>
      </c>
      <c r="N55" s="36">
        <f t="shared" si="22"/>
        <v>0</v>
      </c>
      <c r="O55" s="36">
        <f t="shared" si="22"/>
        <v>0</v>
      </c>
      <c r="P55" s="36">
        <f t="shared" si="22"/>
        <v>0</v>
      </c>
      <c r="Q55" s="36">
        <f t="shared" si="22"/>
        <v>0</v>
      </c>
      <c r="R55" s="36">
        <f t="shared" si="22"/>
        <v>0</v>
      </c>
      <c r="S55" s="36">
        <f t="shared" si="22"/>
        <v>0</v>
      </c>
      <c r="T55" s="36">
        <f t="shared" si="22"/>
        <v>0</v>
      </c>
      <c r="U55" s="36">
        <f t="shared" si="22"/>
        <v>0</v>
      </c>
      <c r="V55" s="36">
        <f t="shared" si="22"/>
        <v>0</v>
      </c>
      <c r="W55" s="36">
        <f t="shared" si="22"/>
        <v>0</v>
      </c>
      <c r="X55" s="36">
        <f t="shared" si="22"/>
        <v>0</v>
      </c>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ht="15">
      <c r="A57" s="61" t="s">
        <v>69</v>
      </c>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ht="15">
      <c r="E58" s="64">
        <f t="shared" ref="E58:X58" si="23">E11</f>
        <v>2016</v>
      </c>
      <c r="F58" s="65">
        <f t="shared" si="23"/>
        <v>2017</v>
      </c>
      <c r="G58" s="65">
        <f t="shared" si="23"/>
        <v>2018</v>
      </c>
      <c r="H58" s="65">
        <f t="shared" si="23"/>
        <v>2019</v>
      </c>
      <c r="I58" s="65">
        <f t="shared" si="23"/>
        <v>2020</v>
      </c>
      <c r="J58" s="65">
        <f t="shared" si="23"/>
        <v>2021</v>
      </c>
      <c r="K58" s="65">
        <f t="shared" si="23"/>
        <v>2022</v>
      </c>
      <c r="L58" s="65">
        <f t="shared" si="23"/>
        <v>2023</v>
      </c>
      <c r="M58" s="65">
        <f t="shared" si="23"/>
        <v>2024</v>
      </c>
      <c r="N58" s="65">
        <f t="shared" si="23"/>
        <v>2025</v>
      </c>
      <c r="O58" s="65">
        <f t="shared" si="23"/>
        <v>2026</v>
      </c>
      <c r="P58" s="65">
        <f t="shared" si="23"/>
        <v>2027</v>
      </c>
      <c r="Q58" s="65">
        <f t="shared" si="23"/>
        <v>2028</v>
      </c>
      <c r="R58" s="65">
        <f t="shared" si="23"/>
        <v>2029</v>
      </c>
      <c r="S58" s="65">
        <f t="shared" si="23"/>
        <v>2030</v>
      </c>
      <c r="T58" s="65">
        <f t="shared" si="23"/>
        <v>2031</v>
      </c>
      <c r="U58" s="65">
        <f t="shared" si="23"/>
        <v>2032</v>
      </c>
      <c r="V58" s="65">
        <f t="shared" si="23"/>
        <v>2033</v>
      </c>
      <c r="W58" s="65">
        <f t="shared" si="23"/>
        <v>2034</v>
      </c>
      <c r="X58" s="65">
        <f t="shared" si="23"/>
        <v>2035</v>
      </c>
      <c r="Y58" s="66" t="s">
        <v>61</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C59" s="55" t="s">
        <v>66</v>
      </c>
      <c r="D59" s="55" t="s">
        <v>66</v>
      </c>
      <c r="E59" s="67" t="str">
        <f>CONCATENATE("aMW_",E$11)</f>
        <v>aMW_2016</v>
      </c>
      <c r="F59" s="68" t="str">
        <f t="shared" ref="F59:X59" si="24">CONCATENATE("aMW_",F$11)</f>
        <v>aMW_2017</v>
      </c>
      <c r="G59" s="68" t="str">
        <f t="shared" si="24"/>
        <v>aMW_2018</v>
      </c>
      <c r="H59" s="68" t="str">
        <f t="shared" si="24"/>
        <v>aMW_2019</v>
      </c>
      <c r="I59" s="68" t="str">
        <f t="shared" si="24"/>
        <v>aMW_2020</v>
      </c>
      <c r="J59" s="68" t="str">
        <f t="shared" si="24"/>
        <v>aMW_2021</v>
      </c>
      <c r="K59" s="68" t="str">
        <f t="shared" si="24"/>
        <v>aMW_2022</v>
      </c>
      <c r="L59" s="68" t="str">
        <f t="shared" si="24"/>
        <v>aMW_2023</v>
      </c>
      <c r="M59" s="68" t="str">
        <f t="shared" si="24"/>
        <v>aMW_2024</v>
      </c>
      <c r="N59" s="68" t="str">
        <f t="shared" si="24"/>
        <v>aMW_2025</v>
      </c>
      <c r="O59" s="68" t="str">
        <f t="shared" si="24"/>
        <v>aMW_2026</v>
      </c>
      <c r="P59" s="68" t="str">
        <f t="shared" si="24"/>
        <v>aMW_2027</v>
      </c>
      <c r="Q59" s="68" t="str">
        <f t="shared" si="24"/>
        <v>aMW_2028</v>
      </c>
      <c r="R59" s="68" t="str">
        <f t="shared" si="24"/>
        <v>aMW_2029</v>
      </c>
      <c r="S59" s="68" t="str">
        <f t="shared" si="24"/>
        <v>aMW_2030</v>
      </c>
      <c r="T59" s="68" t="str">
        <f t="shared" si="24"/>
        <v>aMW_2031</v>
      </c>
      <c r="U59" s="68" t="str">
        <f t="shared" si="24"/>
        <v>aMW_2032</v>
      </c>
      <c r="V59" s="68" t="str">
        <f t="shared" si="24"/>
        <v>aMW_2033</v>
      </c>
      <c r="W59" s="68" t="str">
        <f t="shared" si="24"/>
        <v>aMW_2034</v>
      </c>
      <c r="X59" s="68" t="str">
        <f t="shared" si="24"/>
        <v>aMW_2035</v>
      </c>
      <c r="Y59" s="69" t="s">
        <v>61</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9" t="s">
        <v>70</v>
      </c>
      <c r="C60" s="56" t="s">
        <v>71</v>
      </c>
      <c r="D60" s="56" t="s">
        <v>72</v>
      </c>
      <c r="E60" s="36">
        <f>DSUM($B$43:$Y$52,E$43,$C$59:$D60)</f>
        <v>0</v>
      </c>
      <c r="F60" s="36">
        <f>DSUM($B$43:$Y$52,F$43,$C$59:$D60)</f>
        <v>0</v>
      </c>
      <c r="G60" s="36">
        <f>DSUM($B$43:$Y$52,G$43,$C$59:$D60)</f>
        <v>0</v>
      </c>
      <c r="H60" s="36">
        <f>DSUM($B$43:$Y$52,H$43,$C$59:$D60)</f>
        <v>0</v>
      </c>
      <c r="I60" s="36">
        <f>DSUM($B$43:$Y$52,I$43,$C$59:$D60)</f>
        <v>0</v>
      </c>
      <c r="J60" s="36">
        <f>DSUM($B$43:$Y$52,J$43,$C$59:$D60)</f>
        <v>0</v>
      </c>
      <c r="K60" s="36">
        <f>DSUM($B$43:$Y$52,K$43,$C$59:$D60)</f>
        <v>0</v>
      </c>
      <c r="L60" s="36">
        <f>DSUM($B$43:$Y$52,L$43,$C$59:$D60)</f>
        <v>0</v>
      </c>
      <c r="M60" s="36">
        <f>DSUM($B$43:$Y$52,M$43,$C$59:$D60)</f>
        <v>0</v>
      </c>
      <c r="N60" s="36">
        <f>DSUM($B$43:$Y$52,N$43,$C$59:$D60)</f>
        <v>0</v>
      </c>
      <c r="O60" s="36">
        <f>DSUM($B$43:$Y$52,O$43,$C$59:$D60)</f>
        <v>0</v>
      </c>
      <c r="P60" s="36">
        <f>DSUM($B$43:$Y$52,P$43,$C$59:$D60)</f>
        <v>0</v>
      </c>
      <c r="Q60" s="36">
        <f>DSUM($B$43:$Y$52,Q$43,$C$59:$D60)</f>
        <v>0</v>
      </c>
      <c r="R60" s="36">
        <f>DSUM($B$43:$Y$52,R$43,$C$59:$D60)</f>
        <v>0</v>
      </c>
      <c r="S60" s="36">
        <f>DSUM($B$43:$Y$52,S$43,$C$59:$D60)</f>
        <v>0</v>
      </c>
      <c r="T60" s="36">
        <f>DSUM($B$43:$Y$52,T$43,$C$59:$D60)</f>
        <v>0</v>
      </c>
      <c r="U60" s="36">
        <f>DSUM($B$43:$Y$52,U$43,$C$59:$D60)</f>
        <v>0</v>
      </c>
      <c r="V60" s="36">
        <f>DSUM($B$43:$Y$52,V$43,$C$59:$D60)</f>
        <v>0</v>
      </c>
      <c r="W60" s="36">
        <f>DSUM($B$43:$Y$52,W$43,$C$59:$D60)</f>
        <v>0</v>
      </c>
      <c r="X60" s="36">
        <f>DSUM($B$43:$Y$52,X$43,$C$59:$D60)</f>
        <v>0</v>
      </c>
      <c r="Y60" s="36">
        <f>DSUM($B$43:$Y$52,Y$43,$C$59:$D60)</f>
        <v>0</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9" t="s">
        <v>217</v>
      </c>
      <c r="C61" s="56" t="s">
        <v>73</v>
      </c>
      <c r="D61" s="56" t="s">
        <v>74</v>
      </c>
      <c r="E61" s="36">
        <f>DSUM($B$43:$Y$52,E$43,$C$59:$D61)</f>
        <v>0</v>
      </c>
      <c r="F61" s="36">
        <f>DSUM($B$43:$Y$52,F$43,$C$59:$D61)</f>
        <v>0</v>
      </c>
      <c r="G61" s="36">
        <f>DSUM($B$43:$Y$52,G$43,$C$59:$D61)</f>
        <v>0</v>
      </c>
      <c r="H61" s="36">
        <f>DSUM($B$43:$Y$52,H$43,$C$59:$D61)</f>
        <v>0</v>
      </c>
      <c r="I61" s="36">
        <f>DSUM($B$43:$Y$52,I$43,$C$59:$D61)</f>
        <v>0</v>
      </c>
      <c r="J61" s="36">
        <f>DSUM($B$43:$Y$52,J$43,$C$59:$D61)</f>
        <v>0</v>
      </c>
      <c r="K61" s="36">
        <f>DSUM($B$43:$Y$52,K$43,$C$59:$D61)</f>
        <v>0</v>
      </c>
      <c r="L61" s="36">
        <f>DSUM($B$43:$Y$52,L$43,$C$59:$D61)</f>
        <v>0</v>
      </c>
      <c r="M61" s="36">
        <f>DSUM($B$43:$Y$52,M$43,$C$59:$D61)</f>
        <v>0</v>
      </c>
      <c r="N61" s="36">
        <f>DSUM($B$43:$Y$52,N$43,$C$59:$D61)</f>
        <v>0</v>
      </c>
      <c r="O61" s="36">
        <f>DSUM($B$43:$Y$52,O$43,$C$59:$D61)</f>
        <v>0</v>
      </c>
      <c r="P61" s="36">
        <f>DSUM($B$43:$Y$52,P$43,$C$59:$D61)</f>
        <v>0</v>
      </c>
      <c r="Q61" s="36">
        <f>DSUM($B$43:$Y$52,Q$43,$C$59:$D61)</f>
        <v>0</v>
      </c>
      <c r="R61" s="36">
        <f>DSUM($B$43:$Y$52,R$43,$C$59:$D61)</f>
        <v>0</v>
      </c>
      <c r="S61" s="36">
        <f>DSUM($B$43:$Y$52,S$43,$C$59:$D61)</f>
        <v>0</v>
      </c>
      <c r="T61" s="36">
        <f>DSUM($B$43:$Y$52,T$43,$C$59:$D61)</f>
        <v>0</v>
      </c>
      <c r="U61" s="36">
        <f>DSUM($B$43:$Y$52,U$43,$C$59:$D61)</f>
        <v>0</v>
      </c>
      <c r="V61" s="36">
        <f>DSUM($B$43:$Y$52,V$43,$C$59:$D61)</f>
        <v>0</v>
      </c>
      <c r="W61" s="36">
        <f>DSUM($B$43:$Y$52,W$43,$C$59:$D61)</f>
        <v>0</v>
      </c>
      <c r="X61" s="36">
        <f>DSUM($B$43:$Y$52,X$43,$C$59:$D61)</f>
        <v>0</v>
      </c>
      <c r="Y61" s="36">
        <f>DSUM($B$43:$Y$52,Y$43,$C$59:$D61)</f>
        <v>0</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9" t="s">
        <v>75</v>
      </c>
      <c r="C62" s="56" t="s">
        <v>76</v>
      </c>
      <c r="D62" s="56" t="s">
        <v>77</v>
      </c>
      <c r="E62" s="36">
        <f>DSUM($B$43:$Y$52,E$43,$C$59:$D62)</f>
        <v>0</v>
      </c>
      <c r="F62" s="36">
        <f>DSUM($B$43:$Y$52,F$43,$C$59:$D62)</f>
        <v>0</v>
      </c>
      <c r="G62" s="36">
        <f>DSUM($B$43:$Y$52,G$43,$C$59:$D62)</f>
        <v>0</v>
      </c>
      <c r="H62" s="36">
        <f>DSUM($B$43:$Y$52,H$43,$C$59:$D62)</f>
        <v>0</v>
      </c>
      <c r="I62" s="36">
        <f>DSUM($B$43:$Y$52,I$43,$C$59:$D62)</f>
        <v>0</v>
      </c>
      <c r="J62" s="36">
        <f>DSUM($B$43:$Y$52,J$43,$C$59:$D62)</f>
        <v>0</v>
      </c>
      <c r="K62" s="36">
        <f>DSUM($B$43:$Y$52,K$43,$C$59:$D62)</f>
        <v>0</v>
      </c>
      <c r="L62" s="36">
        <f>DSUM($B$43:$Y$52,L$43,$C$59:$D62)</f>
        <v>0</v>
      </c>
      <c r="M62" s="36">
        <f>DSUM($B$43:$Y$52,M$43,$C$59:$D62)</f>
        <v>0</v>
      </c>
      <c r="N62" s="36">
        <f>DSUM($B$43:$Y$52,N$43,$C$59:$D62)</f>
        <v>0</v>
      </c>
      <c r="O62" s="36">
        <f>DSUM($B$43:$Y$52,O$43,$C$59:$D62)</f>
        <v>0</v>
      </c>
      <c r="P62" s="36">
        <f>DSUM($B$43:$Y$52,P$43,$C$59:$D62)</f>
        <v>0</v>
      </c>
      <c r="Q62" s="36">
        <f>DSUM($B$43:$Y$52,Q$43,$C$59:$D62)</f>
        <v>0</v>
      </c>
      <c r="R62" s="36">
        <f>DSUM($B$43:$Y$52,R$43,$C$59:$D62)</f>
        <v>0</v>
      </c>
      <c r="S62" s="36">
        <f>DSUM($B$43:$Y$52,S$43,$C$59:$D62)</f>
        <v>0</v>
      </c>
      <c r="T62" s="36">
        <f>DSUM($B$43:$Y$52,T$43,$C$59:$D62)</f>
        <v>0</v>
      </c>
      <c r="U62" s="36">
        <f>DSUM($B$43:$Y$52,U$43,$C$59:$D62)</f>
        <v>0</v>
      </c>
      <c r="V62" s="36">
        <f>DSUM($B$43:$Y$52,V$43,$C$59:$D62)</f>
        <v>0</v>
      </c>
      <c r="W62" s="36">
        <f>DSUM($B$43:$Y$52,W$43,$C$59:$D62)</f>
        <v>0</v>
      </c>
      <c r="X62" s="36">
        <f>DSUM($B$43:$Y$52,X$43,$C$59:$D62)</f>
        <v>0</v>
      </c>
      <c r="Y62" s="36">
        <f>DSUM($B$43:$Y$52,Y$43,$C$59:$D62)</f>
        <v>0</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9" t="s">
        <v>78</v>
      </c>
      <c r="C63" s="56" t="s">
        <v>79</v>
      </c>
      <c r="D63" s="56" t="s">
        <v>80</v>
      </c>
      <c r="E63" s="36">
        <f>DSUM($B$43:$Y$52,E$43,$C$59:$D63)</f>
        <v>0</v>
      </c>
      <c r="F63" s="36">
        <f>DSUM($B$43:$Y$52,F$43,$C$59:$D63)</f>
        <v>0</v>
      </c>
      <c r="G63" s="36">
        <f>DSUM($B$43:$Y$52,G$43,$C$59:$D63)</f>
        <v>0</v>
      </c>
      <c r="H63" s="36">
        <f>DSUM($B$43:$Y$52,H$43,$C$59:$D63)</f>
        <v>0</v>
      </c>
      <c r="I63" s="36">
        <f>DSUM($B$43:$Y$52,I$43,$C$59:$D63)</f>
        <v>0</v>
      </c>
      <c r="J63" s="36">
        <f>DSUM($B$43:$Y$52,J$43,$C$59:$D63)</f>
        <v>0</v>
      </c>
      <c r="K63" s="36">
        <f>DSUM($B$43:$Y$52,K$43,$C$59:$D63)</f>
        <v>0</v>
      </c>
      <c r="L63" s="36">
        <f>DSUM($B$43:$Y$52,L$43,$C$59:$D63)</f>
        <v>0</v>
      </c>
      <c r="M63" s="36">
        <f>DSUM($B$43:$Y$52,M$43,$C$59:$D63)</f>
        <v>0</v>
      </c>
      <c r="N63" s="36">
        <f>DSUM($B$43:$Y$52,N$43,$C$59:$D63)</f>
        <v>0</v>
      </c>
      <c r="O63" s="36">
        <f>DSUM($B$43:$Y$52,O$43,$C$59:$D63)</f>
        <v>0</v>
      </c>
      <c r="P63" s="36">
        <f>DSUM($B$43:$Y$52,P$43,$C$59:$D63)</f>
        <v>0</v>
      </c>
      <c r="Q63" s="36">
        <f>DSUM($B$43:$Y$52,Q$43,$C$59:$D63)</f>
        <v>0</v>
      </c>
      <c r="R63" s="36">
        <f>DSUM($B$43:$Y$52,R$43,$C$59:$D63)</f>
        <v>0</v>
      </c>
      <c r="S63" s="36">
        <f>DSUM($B$43:$Y$52,S$43,$C$59:$D63)</f>
        <v>0</v>
      </c>
      <c r="T63" s="36">
        <f>DSUM($B$43:$Y$52,T$43,$C$59:$D63)</f>
        <v>0</v>
      </c>
      <c r="U63" s="36">
        <f>DSUM($B$43:$Y$52,U$43,$C$59:$D63)</f>
        <v>0</v>
      </c>
      <c r="V63" s="36">
        <f>DSUM($B$43:$Y$52,V$43,$C$59:$D63)</f>
        <v>0</v>
      </c>
      <c r="W63" s="36">
        <f>DSUM($B$43:$Y$52,W$43,$C$59:$D63)</f>
        <v>0</v>
      </c>
      <c r="X63" s="36">
        <f>DSUM($B$43:$Y$52,X$43,$C$59:$D63)</f>
        <v>0</v>
      </c>
      <c r="Y63" s="36">
        <f>DSUM($B$43:$Y$52,Y$43,$C$59:$D63)</f>
        <v>0</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9" t="s">
        <v>81</v>
      </c>
      <c r="C64" s="56" t="s">
        <v>82</v>
      </c>
      <c r="D64" s="56" t="s">
        <v>83</v>
      </c>
      <c r="E64" s="36">
        <f>DSUM($B$43:$Y$52,E$43,$C$59:$D64)</f>
        <v>0</v>
      </c>
      <c r="F64" s="36">
        <f>DSUM($B$43:$Y$52,F$43,$C$59:$D64)</f>
        <v>0</v>
      </c>
      <c r="G64" s="36">
        <f>DSUM($B$43:$Y$52,G$43,$C$59:$D64)</f>
        <v>0</v>
      </c>
      <c r="H64" s="36">
        <f>DSUM($B$43:$Y$52,H$43,$C$59:$D64)</f>
        <v>0</v>
      </c>
      <c r="I64" s="36">
        <f>DSUM($B$43:$Y$52,I$43,$C$59:$D64)</f>
        <v>0</v>
      </c>
      <c r="J64" s="36">
        <f>DSUM($B$43:$Y$52,J$43,$C$59:$D64)</f>
        <v>0</v>
      </c>
      <c r="K64" s="36">
        <f>DSUM($B$43:$Y$52,K$43,$C$59:$D64)</f>
        <v>0</v>
      </c>
      <c r="L64" s="36">
        <f>DSUM($B$43:$Y$52,L$43,$C$59:$D64)</f>
        <v>0</v>
      </c>
      <c r="M64" s="36">
        <f>DSUM($B$43:$Y$52,M$43,$C$59:$D64)</f>
        <v>0</v>
      </c>
      <c r="N64" s="36">
        <f>DSUM($B$43:$Y$52,N$43,$C$59:$D64)</f>
        <v>0</v>
      </c>
      <c r="O64" s="36">
        <f>DSUM($B$43:$Y$52,O$43,$C$59:$D64)</f>
        <v>0</v>
      </c>
      <c r="P64" s="36">
        <f>DSUM($B$43:$Y$52,P$43,$C$59:$D64)</f>
        <v>0</v>
      </c>
      <c r="Q64" s="36">
        <f>DSUM($B$43:$Y$52,Q$43,$C$59:$D64)</f>
        <v>0</v>
      </c>
      <c r="R64" s="36">
        <f>DSUM($B$43:$Y$52,R$43,$C$59:$D64)</f>
        <v>0</v>
      </c>
      <c r="S64" s="36">
        <f>DSUM($B$43:$Y$52,S$43,$C$59:$D64)</f>
        <v>0</v>
      </c>
      <c r="T64" s="36">
        <f>DSUM($B$43:$Y$52,T$43,$C$59:$D64)</f>
        <v>0</v>
      </c>
      <c r="U64" s="36">
        <f>DSUM($B$43:$Y$52,U$43,$C$59:$D64)</f>
        <v>0</v>
      </c>
      <c r="V64" s="36">
        <f>DSUM($B$43:$Y$52,V$43,$C$59:$D64)</f>
        <v>0</v>
      </c>
      <c r="W64" s="36">
        <f>DSUM($B$43:$Y$52,W$43,$C$59:$D64)</f>
        <v>0</v>
      </c>
      <c r="X64" s="36">
        <f>DSUM($B$43:$Y$52,X$43,$C$59:$D64)</f>
        <v>0</v>
      </c>
      <c r="Y64" s="36">
        <f>DSUM($B$43:$Y$52,Y$43,$C$59:$D64)</f>
        <v>0</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9" t="s">
        <v>84</v>
      </c>
      <c r="C65" s="56" t="s">
        <v>85</v>
      </c>
      <c r="D65" s="56" t="s">
        <v>86</v>
      </c>
      <c r="E65" s="36">
        <f>DSUM($B$43:$Y$52,E$43,$C$59:$D65)</f>
        <v>0</v>
      </c>
      <c r="F65" s="36">
        <f>DSUM($B$43:$Y$52,F$43,$C$59:$D65)</f>
        <v>0</v>
      </c>
      <c r="G65" s="36">
        <f>DSUM($B$43:$Y$52,G$43,$C$59:$D65)</f>
        <v>0</v>
      </c>
      <c r="H65" s="36">
        <f>DSUM($B$43:$Y$52,H$43,$C$59:$D65)</f>
        <v>0</v>
      </c>
      <c r="I65" s="36">
        <f>DSUM($B$43:$Y$52,I$43,$C$59:$D65)</f>
        <v>0</v>
      </c>
      <c r="J65" s="36">
        <f>DSUM($B$43:$Y$52,J$43,$C$59:$D65)</f>
        <v>0</v>
      </c>
      <c r="K65" s="36">
        <f>DSUM($B$43:$Y$52,K$43,$C$59:$D65)</f>
        <v>0</v>
      </c>
      <c r="L65" s="36">
        <f>DSUM($B$43:$Y$52,L$43,$C$59:$D65)</f>
        <v>0</v>
      </c>
      <c r="M65" s="36">
        <f>DSUM($B$43:$Y$52,M$43,$C$59:$D65)</f>
        <v>0</v>
      </c>
      <c r="N65" s="36">
        <f>DSUM($B$43:$Y$52,N$43,$C$59:$D65)</f>
        <v>0</v>
      </c>
      <c r="O65" s="36">
        <f>DSUM($B$43:$Y$52,O$43,$C$59:$D65)</f>
        <v>0</v>
      </c>
      <c r="P65" s="36">
        <f>DSUM($B$43:$Y$52,P$43,$C$59:$D65)</f>
        <v>0</v>
      </c>
      <c r="Q65" s="36">
        <f>DSUM($B$43:$Y$52,Q$43,$C$59:$D65)</f>
        <v>0</v>
      </c>
      <c r="R65" s="36">
        <f>DSUM($B$43:$Y$52,R$43,$C$59:$D65)</f>
        <v>0</v>
      </c>
      <c r="S65" s="36">
        <f>DSUM($B$43:$Y$52,S$43,$C$59:$D65)</f>
        <v>0</v>
      </c>
      <c r="T65" s="36">
        <f>DSUM($B$43:$Y$52,T$43,$C$59:$D65)</f>
        <v>0</v>
      </c>
      <c r="U65" s="36">
        <f>DSUM($B$43:$Y$52,U$43,$C$59:$D65)</f>
        <v>0</v>
      </c>
      <c r="V65" s="36">
        <f>DSUM($B$43:$Y$52,V$43,$C$59:$D65)</f>
        <v>0</v>
      </c>
      <c r="W65" s="36">
        <f>DSUM($B$43:$Y$52,W$43,$C$59:$D65)</f>
        <v>0</v>
      </c>
      <c r="X65" s="36">
        <f>DSUM($B$43:$Y$52,X$43,$C$59:$D65)</f>
        <v>0</v>
      </c>
      <c r="Y65" s="36">
        <f>DSUM($B$43:$Y$52,Y$43,$C$59:$D65)</f>
        <v>0</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9" t="s">
        <v>87</v>
      </c>
      <c r="C66" s="56" t="s">
        <v>88</v>
      </c>
      <c r="D66" s="56" t="s">
        <v>89</v>
      </c>
      <c r="E66" s="36">
        <f>DSUM($B$43:$Y$52,E$43,$C$59:$D66)</f>
        <v>0</v>
      </c>
      <c r="F66" s="36">
        <f>DSUM($B$43:$Y$52,F$43,$C$59:$D66)</f>
        <v>0</v>
      </c>
      <c r="G66" s="36">
        <f>DSUM($B$43:$Y$52,G$43,$C$59:$D66)</f>
        <v>0</v>
      </c>
      <c r="H66" s="36">
        <f>DSUM($B$43:$Y$52,H$43,$C$59:$D66)</f>
        <v>0</v>
      </c>
      <c r="I66" s="36">
        <f>DSUM($B$43:$Y$52,I$43,$C$59:$D66)</f>
        <v>0</v>
      </c>
      <c r="J66" s="36">
        <f>DSUM($B$43:$Y$52,J$43,$C$59:$D66)</f>
        <v>0</v>
      </c>
      <c r="K66" s="36">
        <f>DSUM($B$43:$Y$52,K$43,$C$59:$D66)</f>
        <v>0</v>
      </c>
      <c r="L66" s="36">
        <f>DSUM($B$43:$Y$52,L$43,$C$59:$D66)</f>
        <v>0</v>
      </c>
      <c r="M66" s="36">
        <f>DSUM($B$43:$Y$52,M$43,$C$59:$D66)</f>
        <v>0</v>
      </c>
      <c r="N66" s="36">
        <f>DSUM($B$43:$Y$52,N$43,$C$59:$D66)</f>
        <v>0</v>
      </c>
      <c r="O66" s="36">
        <f>DSUM($B$43:$Y$52,O$43,$C$59:$D66)</f>
        <v>0</v>
      </c>
      <c r="P66" s="36">
        <f>DSUM($B$43:$Y$52,P$43,$C$59:$D66)</f>
        <v>0</v>
      </c>
      <c r="Q66" s="36">
        <f>DSUM($B$43:$Y$52,Q$43,$C$59:$D66)</f>
        <v>0</v>
      </c>
      <c r="R66" s="36">
        <f>DSUM($B$43:$Y$52,R$43,$C$59:$D66)</f>
        <v>0</v>
      </c>
      <c r="S66" s="36">
        <f>DSUM($B$43:$Y$52,S$43,$C$59:$D66)</f>
        <v>0</v>
      </c>
      <c r="T66" s="36">
        <f>DSUM($B$43:$Y$52,T$43,$C$59:$D66)</f>
        <v>0</v>
      </c>
      <c r="U66" s="36">
        <f>DSUM($B$43:$Y$52,U$43,$C$59:$D66)</f>
        <v>0</v>
      </c>
      <c r="V66" s="36">
        <f>DSUM($B$43:$Y$52,V$43,$C$59:$D66)</f>
        <v>0</v>
      </c>
      <c r="W66" s="36">
        <f>DSUM($B$43:$Y$52,W$43,$C$59:$D66)</f>
        <v>0</v>
      </c>
      <c r="X66" s="36">
        <f>DSUM($B$43:$Y$52,X$43,$C$59:$D66)</f>
        <v>0</v>
      </c>
      <c r="Y66" s="36">
        <f>DSUM($B$43:$Y$52,Y$43,$C$59:$D66)</f>
        <v>0</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9" t="s">
        <v>90</v>
      </c>
      <c r="C67" s="56" t="s">
        <v>91</v>
      </c>
      <c r="D67" s="56" t="s">
        <v>92</v>
      </c>
      <c r="E67" s="36">
        <f>DSUM($B$43:$Y$52,E$43,$C$59:$D67)</f>
        <v>0</v>
      </c>
      <c r="F67" s="36">
        <f>DSUM($B$43:$Y$52,F$43,$C$59:$D67)</f>
        <v>0</v>
      </c>
      <c r="G67" s="36">
        <f>DSUM($B$43:$Y$52,G$43,$C$59:$D67)</f>
        <v>0</v>
      </c>
      <c r="H67" s="36">
        <f>DSUM($B$43:$Y$52,H$43,$C$59:$D67)</f>
        <v>0</v>
      </c>
      <c r="I67" s="36">
        <f>DSUM($B$43:$Y$52,I$43,$C$59:$D67)</f>
        <v>0</v>
      </c>
      <c r="J67" s="36">
        <f>DSUM($B$43:$Y$52,J$43,$C$59:$D67)</f>
        <v>0</v>
      </c>
      <c r="K67" s="36">
        <f>DSUM($B$43:$Y$52,K$43,$C$59:$D67)</f>
        <v>0</v>
      </c>
      <c r="L67" s="36">
        <f>DSUM($B$43:$Y$52,L$43,$C$59:$D67)</f>
        <v>0</v>
      </c>
      <c r="M67" s="36">
        <f>DSUM($B$43:$Y$52,M$43,$C$59:$D67)</f>
        <v>0</v>
      </c>
      <c r="N67" s="36">
        <f>DSUM($B$43:$Y$52,N$43,$C$59:$D67)</f>
        <v>0</v>
      </c>
      <c r="O67" s="36">
        <f>DSUM($B$43:$Y$52,O$43,$C$59:$D67)</f>
        <v>0</v>
      </c>
      <c r="P67" s="36">
        <f>DSUM($B$43:$Y$52,P$43,$C$59:$D67)</f>
        <v>0</v>
      </c>
      <c r="Q67" s="36">
        <f>DSUM($B$43:$Y$52,Q$43,$C$59:$D67)</f>
        <v>0</v>
      </c>
      <c r="R67" s="36">
        <f>DSUM($B$43:$Y$52,R$43,$C$59:$D67)</f>
        <v>0</v>
      </c>
      <c r="S67" s="36">
        <f>DSUM($B$43:$Y$52,S$43,$C$59:$D67)</f>
        <v>0</v>
      </c>
      <c r="T67" s="36">
        <f>DSUM($B$43:$Y$52,T$43,$C$59:$D67)</f>
        <v>0</v>
      </c>
      <c r="U67" s="36">
        <f>DSUM($B$43:$Y$52,U$43,$C$59:$D67)</f>
        <v>0</v>
      </c>
      <c r="V67" s="36">
        <f>DSUM($B$43:$Y$52,V$43,$C$59:$D67)</f>
        <v>0</v>
      </c>
      <c r="W67" s="36">
        <f>DSUM($B$43:$Y$52,W$43,$C$59:$D67)</f>
        <v>0</v>
      </c>
      <c r="X67" s="36">
        <f>DSUM($B$43:$Y$52,X$43,$C$59:$D67)</f>
        <v>0</v>
      </c>
      <c r="Y67" s="36">
        <f>DSUM($B$43:$Y$52,Y$43,$C$59:$D67)</f>
        <v>0</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9" t="s">
        <v>93</v>
      </c>
      <c r="C68" s="56" t="s">
        <v>94</v>
      </c>
      <c r="D68" s="56" t="s">
        <v>95</v>
      </c>
      <c r="E68" s="36">
        <f>DSUM($B$43:$Y$52,E$43,$C$59:$D68)</f>
        <v>0</v>
      </c>
      <c r="F68" s="36">
        <f>DSUM($B$43:$Y$52,F$43,$C$59:$D68)</f>
        <v>0</v>
      </c>
      <c r="G68" s="36">
        <f>DSUM($B$43:$Y$52,G$43,$C$59:$D68)</f>
        <v>0</v>
      </c>
      <c r="H68" s="36">
        <f>DSUM($B$43:$Y$52,H$43,$C$59:$D68)</f>
        <v>0</v>
      </c>
      <c r="I68" s="36">
        <f>DSUM($B$43:$Y$52,I$43,$C$59:$D68)</f>
        <v>0</v>
      </c>
      <c r="J68" s="36">
        <f>DSUM($B$43:$Y$52,J$43,$C$59:$D68)</f>
        <v>0</v>
      </c>
      <c r="K68" s="36">
        <f>DSUM($B$43:$Y$52,K$43,$C$59:$D68)</f>
        <v>0</v>
      </c>
      <c r="L68" s="36">
        <f>DSUM($B$43:$Y$52,L$43,$C$59:$D68)</f>
        <v>0</v>
      </c>
      <c r="M68" s="36">
        <f>DSUM($B$43:$Y$52,M$43,$C$59:$D68)</f>
        <v>0</v>
      </c>
      <c r="N68" s="36">
        <f>DSUM($B$43:$Y$52,N$43,$C$59:$D68)</f>
        <v>0</v>
      </c>
      <c r="O68" s="36">
        <f>DSUM($B$43:$Y$52,O$43,$C$59:$D68)</f>
        <v>0</v>
      </c>
      <c r="P68" s="36">
        <f>DSUM($B$43:$Y$52,P$43,$C$59:$D68)</f>
        <v>0</v>
      </c>
      <c r="Q68" s="36">
        <f>DSUM($B$43:$Y$52,Q$43,$C$59:$D68)</f>
        <v>0</v>
      </c>
      <c r="R68" s="36">
        <f>DSUM($B$43:$Y$52,R$43,$C$59:$D68)</f>
        <v>0</v>
      </c>
      <c r="S68" s="36">
        <f>DSUM($B$43:$Y$52,S$43,$C$59:$D68)</f>
        <v>0</v>
      </c>
      <c r="T68" s="36">
        <f>DSUM($B$43:$Y$52,T$43,$C$59:$D68)</f>
        <v>0</v>
      </c>
      <c r="U68" s="36">
        <f>DSUM($B$43:$Y$52,U$43,$C$59:$D68)</f>
        <v>0</v>
      </c>
      <c r="V68" s="36">
        <f>DSUM($B$43:$Y$52,V$43,$C$59:$D68)</f>
        <v>0</v>
      </c>
      <c r="W68" s="36">
        <f>DSUM($B$43:$Y$52,W$43,$C$59:$D68)</f>
        <v>0</v>
      </c>
      <c r="X68" s="36">
        <f>DSUM($B$43:$Y$52,X$43,$C$59:$D68)</f>
        <v>0</v>
      </c>
      <c r="Y68" s="36">
        <f>DSUM($B$43:$Y$52,Y$43,$C$59:$D68)</f>
        <v>0</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9" t="s">
        <v>96</v>
      </c>
      <c r="C69" s="56" t="s">
        <v>97</v>
      </c>
      <c r="D69" s="56" t="s">
        <v>98</v>
      </c>
      <c r="E69" s="36">
        <f>DSUM($B$43:$Y$52,E$43,$C$59:$D69)</f>
        <v>0</v>
      </c>
      <c r="F69" s="36">
        <f>DSUM($B$43:$Y$52,F$43,$C$59:$D69)</f>
        <v>0</v>
      </c>
      <c r="G69" s="36">
        <f>DSUM($B$43:$Y$52,G$43,$C$59:$D69)</f>
        <v>0</v>
      </c>
      <c r="H69" s="36">
        <f>DSUM($B$43:$Y$52,H$43,$C$59:$D69)</f>
        <v>0</v>
      </c>
      <c r="I69" s="36">
        <f>DSUM($B$43:$Y$52,I$43,$C$59:$D69)</f>
        <v>0</v>
      </c>
      <c r="J69" s="36">
        <f>DSUM($B$43:$Y$52,J$43,$C$59:$D69)</f>
        <v>0</v>
      </c>
      <c r="K69" s="36">
        <f>DSUM($B$43:$Y$52,K$43,$C$59:$D69)</f>
        <v>0</v>
      </c>
      <c r="L69" s="36">
        <f>DSUM($B$43:$Y$52,L$43,$C$59:$D69)</f>
        <v>0</v>
      </c>
      <c r="M69" s="36">
        <f>DSUM($B$43:$Y$52,M$43,$C$59:$D69)</f>
        <v>0</v>
      </c>
      <c r="N69" s="36">
        <f>DSUM($B$43:$Y$52,N$43,$C$59:$D69)</f>
        <v>0</v>
      </c>
      <c r="O69" s="36">
        <f>DSUM($B$43:$Y$52,O$43,$C$59:$D69)</f>
        <v>0</v>
      </c>
      <c r="P69" s="36">
        <f>DSUM($B$43:$Y$52,P$43,$C$59:$D69)</f>
        <v>0</v>
      </c>
      <c r="Q69" s="36">
        <f>DSUM($B$43:$Y$52,Q$43,$C$59:$D69)</f>
        <v>0</v>
      </c>
      <c r="R69" s="36">
        <f>DSUM($B$43:$Y$52,R$43,$C$59:$D69)</f>
        <v>0</v>
      </c>
      <c r="S69" s="36">
        <f>DSUM($B$43:$Y$52,S$43,$C$59:$D69)</f>
        <v>0</v>
      </c>
      <c r="T69" s="36">
        <f>DSUM($B$43:$Y$52,T$43,$C$59:$D69)</f>
        <v>0</v>
      </c>
      <c r="U69" s="36">
        <f>DSUM($B$43:$Y$52,U$43,$C$59:$D69)</f>
        <v>0</v>
      </c>
      <c r="V69" s="36">
        <f>DSUM($B$43:$Y$52,V$43,$C$59:$D69)</f>
        <v>0</v>
      </c>
      <c r="W69" s="36">
        <f>DSUM($B$43:$Y$52,W$43,$C$59:$D69)</f>
        <v>0</v>
      </c>
      <c r="X69" s="36">
        <f>DSUM($B$43:$Y$52,X$43,$C$59:$D69)</f>
        <v>0</v>
      </c>
      <c r="Y69" s="36">
        <f>DSUM($B$43:$Y$52,Y$43,$C$59:$D69)</f>
        <v>0</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9" t="s">
        <v>99</v>
      </c>
      <c r="C70" s="56" t="s">
        <v>100</v>
      </c>
      <c r="D70" s="56" t="s">
        <v>101</v>
      </c>
      <c r="E70" s="36">
        <f>DSUM($B$43:$Y$52,E$43,$C$59:$D70)</f>
        <v>0</v>
      </c>
      <c r="F70" s="36">
        <f>DSUM($B$43:$Y$52,F$43,$C$59:$D70)</f>
        <v>0</v>
      </c>
      <c r="G70" s="36">
        <f>DSUM($B$43:$Y$52,G$43,$C$59:$D70)</f>
        <v>0</v>
      </c>
      <c r="H70" s="36">
        <f>DSUM($B$43:$Y$52,H$43,$C$59:$D70)</f>
        <v>0</v>
      </c>
      <c r="I70" s="36">
        <f>DSUM($B$43:$Y$52,I$43,$C$59:$D70)</f>
        <v>0</v>
      </c>
      <c r="J70" s="36">
        <f>DSUM($B$43:$Y$52,J$43,$C$59:$D70)</f>
        <v>0</v>
      </c>
      <c r="K70" s="36">
        <f>DSUM($B$43:$Y$52,K$43,$C$59:$D70)</f>
        <v>0</v>
      </c>
      <c r="L70" s="36">
        <f>DSUM($B$43:$Y$52,L$43,$C$59:$D70)</f>
        <v>0</v>
      </c>
      <c r="M70" s="36">
        <f>DSUM($B$43:$Y$52,M$43,$C$59:$D70)</f>
        <v>0</v>
      </c>
      <c r="N70" s="36">
        <f>DSUM($B$43:$Y$52,N$43,$C$59:$D70)</f>
        <v>0</v>
      </c>
      <c r="O70" s="36">
        <f>DSUM($B$43:$Y$52,O$43,$C$59:$D70)</f>
        <v>0</v>
      </c>
      <c r="P70" s="36">
        <f>DSUM($B$43:$Y$52,P$43,$C$59:$D70)</f>
        <v>0</v>
      </c>
      <c r="Q70" s="36">
        <f>DSUM($B$43:$Y$52,Q$43,$C$59:$D70)</f>
        <v>0</v>
      </c>
      <c r="R70" s="36">
        <f>DSUM($B$43:$Y$52,R$43,$C$59:$D70)</f>
        <v>0</v>
      </c>
      <c r="S70" s="36">
        <f>DSUM($B$43:$Y$52,S$43,$C$59:$D70)</f>
        <v>0</v>
      </c>
      <c r="T70" s="36">
        <f>DSUM($B$43:$Y$52,T$43,$C$59:$D70)</f>
        <v>0</v>
      </c>
      <c r="U70" s="36">
        <f>DSUM($B$43:$Y$52,U$43,$C$59:$D70)</f>
        <v>0</v>
      </c>
      <c r="V70" s="36">
        <f>DSUM($B$43:$Y$52,V$43,$C$59:$D70)</f>
        <v>0</v>
      </c>
      <c r="W70" s="36">
        <f>DSUM($B$43:$Y$52,W$43,$C$59:$D70)</f>
        <v>0</v>
      </c>
      <c r="X70" s="36">
        <f>DSUM($B$43:$Y$52,X$43,$C$59:$D70)</f>
        <v>0</v>
      </c>
      <c r="Y70" s="36">
        <f>DSUM($B$43:$Y$52,Y$43,$C$59:$D70)</f>
        <v>0</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9" t="s">
        <v>102</v>
      </c>
      <c r="C71" s="56" t="s">
        <v>103</v>
      </c>
      <c r="D71" s="56" t="s">
        <v>104</v>
      </c>
      <c r="E71" s="36">
        <f>DSUM($B$43:$Y$52,E$43,$C$59:$D71)</f>
        <v>0</v>
      </c>
      <c r="F71" s="36">
        <f>DSUM($B$43:$Y$52,F$43,$C$59:$D71)</f>
        <v>0</v>
      </c>
      <c r="G71" s="36">
        <f>DSUM($B$43:$Y$52,G$43,$C$59:$D71)</f>
        <v>0</v>
      </c>
      <c r="H71" s="36">
        <f>DSUM($B$43:$Y$52,H$43,$C$59:$D71)</f>
        <v>0</v>
      </c>
      <c r="I71" s="36">
        <f>DSUM($B$43:$Y$52,I$43,$C$59:$D71)</f>
        <v>0</v>
      </c>
      <c r="J71" s="36">
        <f>DSUM($B$43:$Y$52,J$43,$C$59:$D71)</f>
        <v>0</v>
      </c>
      <c r="K71" s="36">
        <f>DSUM($B$43:$Y$52,K$43,$C$59:$D71)</f>
        <v>0</v>
      </c>
      <c r="L71" s="36">
        <f>DSUM($B$43:$Y$52,L$43,$C$59:$D71)</f>
        <v>0</v>
      </c>
      <c r="M71" s="36">
        <f>DSUM($B$43:$Y$52,M$43,$C$59:$D71)</f>
        <v>0</v>
      </c>
      <c r="N71" s="36">
        <f>DSUM($B$43:$Y$52,N$43,$C$59:$D71)</f>
        <v>0</v>
      </c>
      <c r="O71" s="36">
        <f>DSUM($B$43:$Y$52,O$43,$C$59:$D71)</f>
        <v>0</v>
      </c>
      <c r="P71" s="36">
        <f>DSUM($B$43:$Y$52,P$43,$C$59:$D71)</f>
        <v>0</v>
      </c>
      <c r="Q71" s="36">
        <f>DSUM($B$43:$Y$52,Q$43,$C$59:$D71)</f>
        <v>0</v>
      </c>
      <c r="R71" s="36">
        <f>DSUM($B$43:$Y$52,R$43,$C$59:$D71)</f>
        <v>0</v>
      </c>
      <c r="S71" s="36">
        <f>DSUM($B$43:$Y$52,S$43,$C$59:$D71)</f>
        <v>0</v>
      </c>
      <c r="T71" s="36">
        <f>DSUM($B$43:$Y$52,T$43,$C$59:$D71)</f>
        <v>0</v>
      </c>
      <c r="U71" s="36">
        <f>DSUM($B$43:$Y$52,U$43,$C$59:$D71)</f>
        <v>0</v>
      </c>
      <c r="V71" s="36">
        <f>DSUM($B$43:$Y$52,V$43,$C$59:$D71)</f>
        <v>0</v>
      </c>
      <c r="W71" s="36">
        <f>DSUM($B$43:$Y$52,W$43,$C$59:$D71)</f>
        <v>0</v>
      </c>
      <c r="X71" s="36">
        <f>DSUM($B$43:$Y$52,X$43,$C$59:$D71)</f>
        <v>0</v>
      </c>
      <c r="Y71" s="36">
        <f>DSUM($B$43:$Y$52,Y$43,$C$59:$D71)</f>
        <v>0</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9" t="s">
        <v>105</v>
      </c>
      <c r="C72" s="56" t="s">
        <v>106</v>
      </c>
      <c r="D72" s="56" t="s">
        <v>107</v>
      </c>
      <c r="E72" s="36">
        <f>DSUM($B$43:$Y$52,E$43,$C$59:$D72)</f>
        <v>0</v>
      </c>
      <c r="F72" s="36">
        <f>DSUM($B$43:$Y$52,F$43,$C$59:$D72)</f>
        <v>0</v>
      </c>
      <c r="G72" s="36">
        <f>DSUM($B$43:$Y$52,G$43,$C$59:$D72)</f>
        <v>0</v>
      </c>
      <c r="H72" s="36">
        <f>DSUM($B$43:$Y$52,H$43,$C$59:$D72)</f>
        <v>0</v>
      </c>
      <c r="I72" s="36">
        <f>DSUM($B$43:$Y$52,I$43,$C$59:$D72)</f>
        <v>0</v>
      </c>
      <c r="J72" s="36">
        <f>DSUM($B$43:$Y$52,J$43,$C$59:$D72)</f>
        <v>0</v>
      </c>
      <c r="K72" s="36">
        <f>DSUM($B$43:$Y$52,K$43,$C$59:$D72)</f>
        <v>0</v>
      </c>
      <c r="L72" s="36">
        <f>DSUM($B$43:$Y$52,L$43,$C$59:$D72)</f>
        <v>0</v>
      </c>
      <c r="M72" s="36">
        <f>DSUM($B$43:$Y$52,M$43,$C$59:$D72)</f>
        <v>0</v>
      </c>
      <c r="N72" s="36">
        <f>DSUM($B$43:$Y$52,N$43,$C$59:$D72)</f>
        <v>0</v>
      </c>
      <c r="O72" s="36">
        <f>DSUM($B$43:$Y$52,O$43,$C$59:$D72)</f>
        <v>0</v>
      </c>
      <c r="P72" s="36">
        <f>DSUM($B$43:$Y$52,P$43,$C$59:$D72)</f>
        <v>0</v>
      </c>
      <c r="Q72" s="36">
        <f>DSUM($B$43:$Y$52,Q$43,$C$59:$D72)</f>
        <v>0</v>
      </c>
      <c r="R72" s="36">
        <f>DSUM($B$43:$Y$52,R$43,$C$59:$D72)</f>
        <v>0</v>
      </c>
      <c r="S72" s="36">
        <f>DSUM($B$43:$Y$52,S$43,$C$59:$D72)</f>
        <v>0</v>
      </c>
      <c r="T72" s="36">
        <f>DSUM($B$43:$Y$52,T$43,$C$59:$D72)</f>
        <v>0</v>
      </c>
      <c r="U72" s="36">
        <f>DSUM($B$43:$Y$52,U$43,$C$59:$D72)</f>
        <v>0</v>
      </c>
      <c r="V72" s="36">
        <f>DSUM($B$43:$Y$52,V$43,$C$59:$D72)</f>
        <v>0</v>
      </c>
      <c r="W72" s="36">
        <f>DSUM($B$43:$Y$52,W$43,$C$59:$D72)</f>
        <v>0</v>
      </c>
      <c r="X72" s="36">
        <f>DSUM($B$43:$Y$52,X$43,$C$59:$D72)</f>
        <v>0</v>
      </c>
      <c r="Y72" s="36">
        <f>DSUM($B$43:$Y$52,Y$43,$C$59:$D72)</f>
        <v>0</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9" t="s">
        <v>108</v>
      </c>
      <c r="C73" s="56" t="s">
        <v>109</v>
      </c>
      <c r="D73" s="56" t="s">
        <v>110</v>
      </c>
      <c r="E73" s="36">
        <f>DSUM($B$43:$Y$52,E$43,$C$59:$D73)</f>
        <v>0</v>
      </c>
      <c r="F73" s="36">
        <f>DSUM($B$43:$Y$52,F$43,$C$59:$D73)</f>
        <v>0</v>
      </c>
      <c r="G73" s="36">
        <f>DSUM($B$43:$Y$52,G$43,$C$59:$D73)</f>
        <v>0</v>
      </c>
      <c r="H73" s="36">
        <f>DSUM($B$43:$Y$52,H$43,$C$59:$D73)</f>
        <v>0</v>
      </c>
      <c r="I73" s="36">
        <f>DSUM($B$43:$Y$52,I$43,$C$59:$D73)</f>
        <v>0</v>
      </c>
      <c r="J73" s="36">
        <f>DSUM($B$43:$Y$52,J$43,$C$59:$D73)</f>
        <v>0</v>
      </c>
      <c r="K73" s="36">
        <f>DSUM($B$43:$Y$52,K$43,$C$59:$D73)</f>
        <v>0</v>
      </c>
      <c r="L73" s="36">
        <f>DSUM($B$43:$Y$52,L$43,$C$59:$D73)</f>
        <v>0</v>
      </c>
      <c r="M73" s="36">
        <f>DSUM($B$43:$Y$52,M$43,$C$59:$D73)</f>
        <v>0</v>
      </c>
      <c r="N73" s="36">
        <f>DSUM($B$43:$Y$52,N$43,$C$59:$D73)</f>
        <v>0</v>
      </c>
      <c r="O73" s="36">
        <f>DSUM($B$43:$Y$52,O$43,$C$59:$D73)</f>
        <v>0</v>
      </c>
      <c r="P73" s="36">
        <f>DSUM($B$43:$Y$52,P$43,$C$59:$D73)</f>
        <v>0</v>
      </c>
      <c r="Q73" s="36">
        <f>DSUM($B$43:$Y$52,Q$43,$C$59:$D73)</f>
        <v>0</v>
      </c>
      <c r="R73" s="36">
        <f>DSUM($B$43:$Y$52,R$43,$C$59:$D73)</f>
        <v>0</v>
      </c>
      <c r="S73" s="36">
        <f>DSUM($B$43:$Y$52,S$43,$C$59:$D73)</f>
        <v>0</v>
      </c>
      <c r="T73" s="36">
        <f>DSUM($B$43:$Y$52,T$43,$C$59:$D73)</f>
        <v>0</v>
      </c>
      <c r="U73" s="36">
        <f>DSUM($B$43:$Y$52,U$43,$C$59:$D73)</f>
        <v>0</v>
      </c>
      <c r="V73" s="36">
        <f>DSUM($B$43:$Y$52,V$43,$C$59:$D73)</f>
        <v>0</v>
      </c>
      <c r="W73" s="36">
        <f>DSUM($B$43:$Y$52,W$43,$C$59:$D73)</f>
        <v>0</v>
      </c>
      <c r="X73" s="36">
        <f>DSUM($B$43:$Y$52,X$43,$C$59:$D73)</f>
        <v>0</v>
      </c>
      <c r="Y73" s="36">
        <f>DSUM($B$43:$Y$52,Y$43,$C$59:$D73)</f>
        <v>0</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9" t="s">
        <v>111</v>
      </c>
      <c r="C74" s="56" t="s">
        <v>112</v>
      </c>
      <c r="D74" s="56" t="s">
        <v>113</v>
      </c>
      <c r="E74" s="36">
        <f>DSUM($B$43:$Y$52,E$43,$C$59:$D74)</f>
        <v>0</v>
      </c>
      <c r="F74" s="36">
        <f>DSUM($B$43:$Y$52,F$43,$C$59:$D74)</f>
        <v>0</v>
      </c>
      <c r="G74" s="36">
        <f>DSUM($B$43:$Y$52,G$43,$C$59:$D74)</f>
        <v>0</v>
      </c>
      <c r="H74" s="36">
        <f>DSUM($B$43:$Y$52,H$43,$C$59:$D74)</f>
        <v>0</v>
      </c>
      <c r="I74" s="36">
        <f>DSUM($B$43:$Y$52,I$43,$C$59:$D74)</f>
        <v>0</v>
      </c>
      <c r="J74" s="36">
        <f>DSUM($B$43:$Y$52,J$43,$C$59:$D74)</f>
        <v>0</v>
      </c>
      <c r="K74" s="36">
        <f>DSUM($B$43:$Y$52,K$43,$C$59:$D74)</f>
        <v>0</v>
      </c>
      <c r="L74" s="36">
        <f>DSUM($B$43:$Y$52,L$43,$C$59:$D74)</f>
        <v>0</v>
      </c>
      <c r="M74" s="36">
        <f>DSUM($B$43:$Y$52,M$43,$C$59:$D74)</f>
        <v>0</v>
      </c>
      <c r="N74" s="36">
        <f>DSUM($B$43:$Y$52,N$43,$C$59:$D74)</f>
        <v>0</v>
      </c>
      <c r="O74" s="36">
        <f>DSUM($B$43:$Y$52,O$43,$C$59:$D74)</f>
        <v>0</v>
      </c>
      <c r="P74" s="36">
        <f>DSUM($B$43:$Y$52,P$43,$C$59:$D74)</f>
        <v>0</v>
      </c>
      <c r="Q74" s="36">
        <f>DSUM($B$43:$Y$52,Q$43,$C$59:$D74)</f>
        <v>0</v>
      </c>
      <c r="R74" s="36">
        <f>DSUM($B$43:$Y$52,R$43,$C$59:$D74)</f>
        <v>0</v>
      </c>
      <c r="S74" s="36">
        <f>DSUM($B$43:$Y$52,S$43,$C$59:$D74)</f>
        <v>0</v>
      </c>
      <c r="T74" s="36">
        <f>DSUM($B$43:$Y$52,T$43,$C$59:$D74)</f>
        <v>0</v>
      </c>
      <c r="U74" s="36">
        <f>DSUM($B$43:$Y$52,U$43,$C$59:$D74)</f>
        <v>0</v>
      </c>
      <c r="V74" s="36">
        <f>DSUM($B$43:$Y$52,V$43,$C$59:$D74)</f>
        <v>0</v>
      </c>
      <c r="W74" s="36">
        <f>DSUM($B$43:$Y$52,W$43,$C$59:$D74)</f>
        <v>0</v>
      </c>
      <c r="X74" s="36">
        <f>DSUM($B$43:$Y$52,X$43,$C$59:$D74)</f>
        <v>0</v>
      </c>
      <c r="Y74" s="36">
        <f>DSUM($B$43:$Y$52,Y$43,$C$59:$D74)</f>
        <v>0</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9" t="s">
        <v>114</v>
      </c>
      <c r="C75" s="56" t="s">
        <v>115</v>
      </c>
      <c r="D75" s="56" t="s">
        <v>116</v>
      </c>
      <c r="E75" s="36">
        <f>DSUM($B$43:$Y$52,E$43,$C$59:$D75)</f>
        <v>0</v>
      </c>
      <c r="F75" s="36">
        <f>DSUM($B$43:$Y$52,F$43,$C$59:$D75)</f>
        <v>0</v>
      </c>
      <c r="G75" s="36">
        <f>DSUM($B$43:$Y$52,G$43,$C$59:$D75)</f>
        <v>0</v>
      </c>
      <c r="H75" s="36">
        <f>DSUM($B$43:$Y$52,H$43,$C$59:$D75)</f>
        <v>0</v>
      </c>
      <c r="I75" s="36">
        <f>DSUM($B$43:$Y$52,I$43,$C$59:$D75)</f>
        <v>0</v>
      </c>
      <c r="J75" s="36">
        <f>DSUM($B$43:$Y$52,J$43,$C$59:$D75)</f>
        <v>0</v>
      </c>
      <c r="K75" s="36">
        <f>DSUM($B$43:$Y$52,K$43,$C$59:$D75)</f>
        <v>0</v>
      </c>
      <c r="L75" s="36">
        <f>DSUM($B$43:$Y$52,L$43,$C$59:$D75)</f>
        <v>0</v>
      </c>
      <c r="M75" s="36">
        <f>DSUM($B$43:$Y$52,M$43,$C$59:$D75)</f>
        <v>0</v>
      </c>
      <c r="N75" s="36">
        <f>DSUM($B$43:$Y$52,N$43,$C$59:$D75)</f>
        <v>0</v>
      </c>
      <c r="O75" s="36">
        <f>DSUM($B$43:$Y$52,O$43,$C$59:$D75)</f>
        <v>0</v>
      </c>
      <c r="P75" s="36">
        <f>DSUM($B$43:$Y$52,P$43,$C$59:$D75)</f>
        <v>0</v>
      </c>
      <c r="Q75" s="36">
        <f>DSUM($B$43:$Y$52,Q$43,$C$59:$D75)</f>
        <v>0</v>
      </c>
      <c r="R75" s="36">
        <f>DSUM($B$43:$Y$52,R$43,$C$59:$D75)</f>
        <v>0</v>
      </c>
      <c r="S75" s="36">
        <f>DSUM($B$43:$Y$52,S$43,$C$59:$D75)</f>
        <v>0</v>
      </c>
      <c r="T75" s="36">
        <f>DSUM($B$43:$Y$52,T$43,$C$59:$D75)</f>
        <v>0</v>
      </c>
      <c r="U75" s="36">
        <f>DSUM($B$43:$Y$52,U$43,$C$59:$D75)</f>
        <v>0</v>
      </c>
      <c r="V75" s="36">
        <f>DSUM($B$43:$Y$52,V$43,$C$59:$D75)</f>
        <v>0</v>
      </c>
      <c r="W75" s="36">
        <f>DSUM($B$43:$Y$52,W$43,$C$59:$D75)</f>
        <v>0</v>
      </c>
      <c r="X75" s="36">
        <f>DSUM($B$43:$Y$52,X$43,$C$59:$D75)</f>
        <v>0</v>
      </c>
      <c r="Y75" s="36">
        <f>DSUM($B$43:$Y$52,Y$43,$C$59:$D75)</f>
        <v>0</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9" t="s">
        <v>117</v>
      </c>
      <c r="C76" s="56" t="s">
        <v>118</v>
      </c>
      <c r="D76" s="56" t="s">
        <v>119</v>
      </c>
      <c r="E76" s="36">
        <f>DSUM($B$43:$Y$52,E$43,$C$59:$D76)</f>
        <v>0</v>
      </c>
      <c r="F76" s="36">
        <f>DSUM($B$43:$Y$52,F$43,$C$59:$D76)</f>
        <v>0</v>
      </c>
      <c r="G76" s="36">
        <f>DSUM($B$43:$Y$52,G$43,$C$59:$D76)</f>
        <v>0</v>
      </c>
      <c r="H76" s="36">
        <f>DSUM($B$43:$Y$52,H$43,$C$59:$D76)</f>
        <v>0</v>
      </c>
      <c r="I76" s="36">
        <f>DSUM($B$43:$Y$52,I$43,$C$59:$D76)</f>
        <v>0</v>
      </c>
      <c r="J76" s="36">
        <f>DSUM($B$43:$Y$52,J$43,$C$59:$D76)</f>
        <v>0</v>
      </c>
      <c r="K76" s="36">
        <f>DSUM($B$43:$Y$52,K$43,$C$59:$D76)</f>
        <v>0</v>
      </c>
      <c r="L76" s="36">
        <f>DSUM($B$43:$Y$52,L$43,$C$59:$D76)</f>
        <v>0</v>
      </c>
      <c r="M76" s="36">
        <f>DSUM($B$43:$Y$52,M$43,$C$59:$D76)</f>
        <v>0</v>
      </c>
      <c r="N76" s="36">
        <f>DSUM($B$43:$Y$52,N$43,$C$59:$D76)</f>
        <v>0</v>
      </c>
      <c r="O76" s="36">
        <f>DSUM($B$43:$Y$52,O$43,$C$59:$D76)</f>
        <v>0</v>
      </c>
      <c r="P76" s="36">
        <f>DSUM($B$43:$Y$52,P$43,$C$59:$D76)</f>
        <v>0</v>
      </c>
      <c r="Q76" s="36">
        <f>DSUM($B$43:$Y$52,Q$43,$C$59:$D76)</f>
        <v>0</v>
      </c>
      <c r="R76" s="36">
        <f>DSUM($B$43:$Y$52,R$43,$C$59:$D76)</f>
        <v>0</v>
      </c>
      <c r="S76" s="36">
        <f>DSUM($B$43:$Y$52,S$43,$C$59:$D76)</f>
        <v>0</v>
      </c>
      <c r="T76" s="36">
        <f>DSUM($B$43:$Y$52,T$43,$C$59:$D76)</f>
        <v>0</v>
      </c>
      <c r="U76" s="36">
        <f>DSUM($B$43:$Y$52,U$43,$C$59:$D76)</f>
        <v>0</v>
      </c>
      <c r="V76" s="36">
        <f>DSUM($B$43:$Y$52,V$43,$C$59:$D76)</f>
        <v>0</v>
      </c>
      <c r="W76" s="36">
        <f>DSUM($B$43:$Y$52,W$43,$C$59:$D76)</f>
        <v>0</v>
      </c>
      <c r="X76" s="36">
        <f>DSUM($B$43:$Y$52,X$43,$C$59:$D76)</f>
        <v>0</v>
      </c>
      <c r="Y76" s="36">
        <f>DSUM($B$43:$Y$52,Y$43,$C$59:$D76)</f>
        <v>0</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9" t="s">
        <v>120</v>
      </c>
      <c r="C77" s="56" t="s">
        <v>121</v>
      </c>
      <c r="D77" s="56" t="s">
        <v>122</v>
      </c>
      <c r="E77" s="36">
        <f>DSUM($B$43:$Y$52,E$43,$C$59:$D77)</f>
        <v>0</v>
      </c>
      <c r="F77" s="36">
        <f>DSUM($B$43:$Y$52,F$43,$C$59:$D77)</f>
        <v>0</v>
      </c>
      <c r="G77" s="36">
        <f>DSUM($B$43:$Y$52,G$43,$C$59:$D77)</f>
        <v>0</v>
      </c>
      <c r="H77" s="36">
        <f>DSUM($B$43:$Y$52,H$43,$C$59:$D77)</f>
        <v>0</v>
      </c>
      <c r="I77" s="36">
        <f>DSUM($B$43:$Y$52,I$43,$C$59:$D77)</f>
        <v>0</v>
      </c>
      <c r="J77" s="36">
        <f>DSUM($B$43:$Y$52,J$43,$C$59:$D77)</f>
        <v>0</v>
      </c>
      <c r="K77" s="36">
        <f>DSUM($B$43:$Y$52,K$43,$C$59:$D77)</f>
        <v>0</v>
      </c>
      <c r="L77" s="36">
        <f>DSUM($B$43:$Y$52,L$43,$C$59:$D77)</f>
        <v>0</v>
      </c>
      <c r="M77" s="36">
        <f>DSUM($B$43:$Y$52,M$43,$C$59:$D77)</f>
        <v>0</v>
      </c>
      <c r="N77" s="36">
        <f>DSUM($B$43:$Y$52,N$43,$C$59:$D77)</f>
        <v>0</v>
      </c>
      <c r="O77" s="36">
        <f>DSUM($B$43:$Y$52,O$43,$C$59:$D77)</f>
        <v>0</v>
      </c>
      <c r="P77" s="36">
        <f>DSUM($B$43:$Y$52,P$43,$C$59:$D77)</f>
        <v>0</v>
      </c>
      <c r="Q77" s="36">
        <f>DSUM($B$43:$Y$52,Q$43,$C$59:$D77)</f>
        <v>0</v>
      </c>
      <c r="R77" s="36">
        <f>DSUM($B$43:$Y$52,R$43,$C$59:$D77)</f>
        <v>0</v>
      </c>
      <c r="S77" s="36">
        <f>DSUM($B$43:$Y$52,S$43,$C$59:$D77)</f>
        <v>0</v>
      </c>
      <c r="T77" s="36">
        <f>DSUM($B$43:$Y$52,T$43,$C$59:$D77)</f>
        <v>0</v>
      </c>
      <c r="U77" s="36">
        <f>DSUM($B$43:$Y$52,U$43,$C$59:$D77)</f>
        <v>0</v>
      </c>
      <c r="V77" s="36">
        <f>DSUM($B$43:$Y$52,V$43,$C$59:$D77)</f>
        <v>0</v>
      </c>
      <c r="W77" s="36">
        <f>DSUM($B$43:$Y$52,W$43,$C$59:$D77)</f>
        <v>0</v>
      </c>
      <c r="X77" s="36">
        <f>DSUM($B$43:$Y$52,X$43,$C$59:$D77)</f>
        <v>0</v>
      </c>
      <c r="Y77" s="36">
        <f>DSUM($B$43:$Y$52,Y$43,$C$59:$D77)</f>
        <v>0</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9" t="s">
        <v>123</v>
      </c>
      <c r="C78" s="56" t="s">
        <v>124</v>
      </c>
      <c r="D78" s="56" t="s">
        <v>125</v>
      </c>
      <c r="E78" s="36">
        <f>DSUM($B$43:$Y$52,E$43,$C$59:$D78)</f>
        <v>0</v>
      </c>
      <c r="F78" s="36">
        <f>DSUM($B$43:$Y$52,F$43,$C$59:$D78)</f>
        <v>0</v>
      </c>
      <c r="G78" s="36">
        <f>DSUM($B$43:$Y$52,G$43,$C$59:$D78)</f>
        <v>0</v>
      </c>
      <c r="H78" s="36">
        <f>DSUM($B$43:$Y$52,H$43,$C$59:$D78)</f>
        <v>0</v>
      </c>
      <c r="I78" s="36">
        <f>DSUM($B$43:$Y$52,I$43,$C$59:$D78)</f>
        <v>0</v>
      </c>
      <c r="J78" s="36">
        <f>DSUM($B$43:$Y$52,J$43,$C$59:$D78)</f>
        <v>0</v>
      </c>
      <c r="K78" s="36">
        <f>DSUM($B$43:$Y$52,K$43,$C$59:$D78)</f>
        <v>0</v>
      </c>
      <c r="L78" s="36">
        <f>DSUM($B$43:$Y$52,L$43,$C$59:$D78)</f>
        <v>0</v>
      </c>
      <c r="M78" s="36">
        <f>DSUM($B$43:$Y$52,M$43,$C$59:$D78)</f>
        <v>0</v>
      </c>
      <c r="N78" s="36">
        <f>DSUM($B$43:$Y$52,N$43,$C$59:$D78)</f>
        <v>0</v>
      </c>
      <c r="O78" s="36">
        <f>DSUM($B$43:$Y$52,O$43,$C$59:$D78)</f>
        <v>0</v>
      </c>
      <c r="P78" s="36">
        <f>DSUM($B$43:$Y$52,P$43,$C$59:$D78)</f>
        <v>0</v>
      </c>
      <c r="Q78" s="36">
        <f>DSUM($B$43:$Y$52,Q$43,$C$59:$D78)</f>
        <v>0</v>
      </c>
      <c r="R78" s="36">
        <f>DSUM($B$43:$Y$52,R$43,$C$59:$D78)</f>
        <v>0</v>
      </c>
      <c r="S78" s="36">
        <f>DSUM($B$43:$Y$52,S$43,$C$59:$D78)</f>
        <v>0</v>
      </c>
      <c r="T78" s="36">
        <f>DSUM($B$43:$Y$52,T$43,$C$59:$D78)</f>
        <v>0</v>
      </c>
      <c r="U78" s="36">
        <f>DSUM($B$43:$Y$52,U$43,$C$59:$D78)</f>
        <v>0</v>
      </c>
      <c r="V78" s="36">
        <f>DSUM($B$43:$Y$52,V$43,$C$59:$D78)</f>
        <v>0</v>
      </c>
      <c r="W78" s="36">
        <f>DSUM($B$43:$Y$52,W$43,$C$59:$D78)</f>
        <v>0</v>
      </c>
      <c r="X78" s="36">
        <f>DSUM($B$43:$Y$52,X$43,$C$59:$D78)</f>
        <v>0</v>
      </c>
      <c r="Y78" s="36">
        <f>DSUM($B$43:$Y$52,Y$43,$C$59:$D78)</f>
        <v>0</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9" t="s">
        <v>126</v>
      </c>
      <c r="C79" s="56" t="s">
        <v>127</v>
      </c>
      <c r="D79" s="56" t="s">
        <v>128</v>
      </c>
      <c r="E79" s="36">
        <f>DSUM($B$43:$Y$52,E$43,$C$59:$D79)</f>
        <v>0</v>
      </c>
      <c r="F79" s="36">
        <f>DSUM($B$43:$Y$52,F$43,$C$59:$D79)</f>
        <v>0</v>
      </c>
      <c r="G79" s="36">
        <f>DSUM($B$43:$Y$52,G$43,$C$59:$D79)</f>
        <v>0</v>
      </c>
      <c r="H79" s="36">
        <f>DSUM($B$43:$Y$52,H$43,$C$59:$D79)</f>
        <v>0</v>
      </c>
      <c r="I79" s="36">
        <f>DSUM($B$43:$Y$52,I$43,$C$59:$D79)</f>
        <v>0</v>
      </c>
      <c r="J79" s="36">
        <f>DSUM($B$43:$Y$52,J$43,$C$59:$D79)</f>
        <v>0</v>
      </c>
      <c r="K79" s="36">
        <f>DSUM($B$43:$Y$52,K$43,$C$59:$D79)</f>
        <v>0</v>
      </c>
      <c r="L79" s="36">
        <f>DSUM($B$43:$Y$52,L$43,$C$59:$D79)</f>
        <v>0</v>
      </c>
      <c r="M79" s="36">
        <f>DSUM($B$43:$Y$52,M$43,$C$59:$D79)</f>
        <v>0</v>
      </c>
      <c r="N79" s="36">
        <f>DSUM($B$43:$Y$52,N$43,$C$59:$D79)</f>
        <v>0</v>
      </c>
      <c r="O79" s="36">
        <f>DSUM($B$43:$Y$52,O$43,$C$59:$D79)</f>
        <v>0</v>
      </c>
      <c r="P79" s="36">
        <f>DSUM($B$43:$Y$52,P$43,$C$59:$D79)</f>
        <v>0</v>
      </c>
      <c r="Q79" s="36">
        <f>DSUM($B$43:$Y$52,Q$43,$C$59:$D79)</f>
        <v>0</v>
      </c>
      <c r="R79" s="36">
        <f>DSUM($B$43:$Y$52,R$43,$C$59:$D79)</f>
        <v>0</v>
      </c>
      <c r="S79" s="36">
        <f>DSUM($B$43:$Y$52,S$43,$C$59:$D79)</f>
        <v>0</v>
      </c>
      <c r="T79" s="36">
        <f>DSUM($B$43:$Y$52,T$43,$C$59:$D79)</f>
        <v>0</v>
      </c>
      <c r="U79" s="36">
        <f>DSUM($B$43:$Y$52,U$43,$C$59:$D79)</f>
        <v>0</v>
      </c>
      <c r="V79" s="36">
        <f>DSUM($B$43:$Y$52,V$43,$C$59:$D79)</f>
        <v>0</v>
      </c>
      <c r="W79" s="36">
        <f>DSUM($B$43:$Y$52,W$43,$C$59:$D79)</f>
        <v>0</v>
      </c>
      <c r="X79" s="36">
        <f>DSUM($B$43:$Y$52,X$43,$C$59:$D79)</f>
        <v>0</v>
      </c>
      <c r="Y79" s="36">
        <f>DSUM($B$43:$Y$52,Y$43,$C$59:$D79)</f>
        <v>0</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9" t="s">
        <v>129</v>
      </c>
      <c r="C80" s="56" t="s">
        <v>130</v>
      </c>
      <c r="D80" s="56" t="s">
        <v>131</v>
      </c>
      <c r="E80" s="36">
        <f>DSUM($B$43:$Y$52,E$43,$C$59:$D80)</f>
        <v>0</v>
      </c>
      <c r="F80" s="36">
        <f>DSUM($B$43:$Y$52,F$43,$C$59:$D80)</f>
        <v>0</v>
      </c>
      <c r="G80" s="36">
        <f>DSUM($B$43:$Y$52,G$43,$C$59:$D80)</f>
        <v>0</v>
      </c>
      <c r="H80" s="36">
        <f>DSUM($B$43:$Y$52,H$43,$C$59:$D80)</f>
        <v>0</v>
      </c>
      <c r="I80" s="36">
        <f>DSUM($B$43:$Y$52,I$43,$C$59:$D80)</f>
        <v>0</v>
      </c>
      <c r="J80" s="36">
        <f>DSUM($B$43:$Y$52,J$43,$C$59:$D80)</f>
        <v>0</v>
      </c>
      <c r="K80" s="36">
        <f>DSUM($B$43:$Y$52,K$43,$C$59:$D80)</f>
        <v>0</v>
      </c>
      <c r="L80" s="36">
        <f>DSUM($B$43:$Y$52,L$43,$C$59:$D80)</f>
        <v>0</v>
      </c>
      <c r="M80" s="36">
        <f>DSUM($B$43:$Y$52,M$43,$C$59:$D80)</f>
        <v>0</v>
      </c>
      <c r="N80" s="36">
        <f>DSUM($B$43:$Y$52,N$43,$C$59:$D80)</f>
        <v>0</v>
      </c>
      <c r="O80" s="36">
        <f>DSUM($B$43:$Y$52,O$43,$C$59:$D80)</f>
        <v>0</v>
      </c>
      <c r="P80" s="36">
        <f>DSUM($B$43:$Y$52,P$43,$C$59:$D80)</f>
        <v>0</v>
      </c>
      <c r="Q80" s="36">
        <f>DSUM($B$43:$Y$52,Q$43,$C$59:$D80)</f>
        <v>0</v>
      </c>
      <c r="R80" s="36">
        <f>DSUM($B$43:$Y$52,R$43,$C$59:$D80)</f>
        <v>0</v>
      </c>
      <c r="S80" s="36">
        <f>DSUM($B$43:$Y$52,S$43,$C$59:$D80)</f>
        <v>0</v>
      </c>
      <c r="T80" s="36">
        <f>DSUM($B$43:$Y$52,T$43,$C$59:$D80)</f>
        <v>0</v>
      </c>
      <c r="U80" s="36">
        <f>DSUM($B$43:$Y$52,U$43,$C$59:$D80)</f>
        <v>0</v>
      </c>
      <c r="V80" s="36">
        <f>DSUM($B$43:$Y$52,V$43,$C$59:$D80)</f>
        <v>0</v>
      </c>
      <c r="W80" s="36">
        <f>DSUM($B$43:$Y$52,W$43,$C$59:$D80)</f>
        <v>0</v>
      </c>
      <c r="X80" s="36">
        <f>DSUM($B$43:$Y$52,X$43,$C$59:$D80)</f>
        <v>0</v>
      </c>
      <c r="Y80" s="36">
        <f>DSUM($B$43:$Y$52,Y$43,$C$59:$D80)</f>
        <v>0</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9" t="s">
        <v>183</v>
      </c>
      <c r="C81" s="56" t="s">
        <v>132</v>
      </c>
      <c r="D81" s="56" t="s">
        <v>184</v>
      </c>
      <c r="E81" s="36">
        <f>DSUM($B$43:$Y$52,E$43,$C$59:$D81)</f>
        <v>0</v>
      </c>
      <c r="F81" s="36">
        <f>DSUM($B$43:$Y$52,F$43,$C$59:$D81)</f>
        <v>0</v>
      </c>
      <c r="G81" s="36">
        <f>DSUM($B$43:$Y$52,G$43,$C$59:$D81)</f>
        <v>0</v>
      </c>
      <c r="H81" s="36">
        <f>DSUM($B$43:$Y$52,H$43,$C$59:$D81)</f>
        <v>0</v>
      </c>
      <c r="I81" s="36">
        <f>DSUM($B$43:$Y$52,I$43,$C$59:$D81)</f>
        <v>0</v>
      </c>
      <c r="J81" s="36">
        <f>DSUM($B$43:$Y$52,J$43,$C$59:$D81)</f>
        <v>0</v>
      </c>
      <c r="K81" s="36">
        <f>DSUM($B$43:$Y$52,K$43,$C$59:$D81)</f>
        <v>0</v>
      </c>
      <c r="L81" s="36">
        <f>DSUM($B$43:$Y$52,L$43,$C$59:$D81)</f>
        <v>0</v>
      </c>
      <c r="M81" s="36">
        <f>DSUM($B$43:$Y$52,M$43,$C$59:$D81)</f>
        <v>0</v>
      </c>
      <c r="N81" s="36">
        <f>DSUM($B$43:$Y$52,N$43,$C$59:$D81)</f>
        <v>0</v>
      </c>
      <c r="O81" s="36">
        <f>DSUM($B$43:$Y$52,O$43,$C$59:$D81)</f>
        <v>0</v>
      </c>
      <c r="P81" s="36">
        <f>DSUM($B$43:$Y$52,P$43,$C$59:$D81)</f>
        <v>0</v>
      </c>
      <c r="Q81" s="36">
        <f>DSUM($B$43:$Y$52,Q$43,$C$59:$D81)</f>
        <v>0</v>
      </c>
      <c r="R81" s="36">
        <f>DSUM($B$43:$Y$52,R$43,$C$59:$D81)</f>
        <v>0</v>
      </c>
      <c r="S81" s="36">
        <f>DSUM($B$43:$Y$52,S$43,$C$59:$D81)</f>
        <v>0</v>
      </c>
      <c r="T81" s="36">
        <f>DSUM($B$43:$Y$52,T$43,$C$59:$D81)</f>
        <v>0</v>
      </c>
      <c r="U81" s="36">
        <f>DSUM($B$43:$Y$52,U$43,$C$59:$D81)</f>
        <v>0</v>
      </c>
      <c r="V81" s="36">
        <f>DSUM($B$43:$Y$52,V$43,$C$59:$D81)</f>
        <v>0</v>
      </c>
      <c r="W81" s="36">
        <f>DSUM($B$43:$Y$52,W$43,$C$59:$D81)</f>
        <v>0</v>
      </c>
      <c r="X81" s="36">
        <f>DSUM($B$43:$Y$52,X$43,$C$59:$D81)</f>
        <v>0</v>
      </c>
      <c r="Y81" s="36">
        <f>DSUM($B$43:$Y$52,Y$43,$C$59:$D81)</f>
        <v>0</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9" t="s">
        <v>185</v>
      </c>
      <c r="C82" s="56" t="s">
        <v>186</v>
      </c>
      <c r="D82" s="56" t="s">
        <v>187</v>
      </c>
      <c r="E82" s="36">
        <f>DSUM($B$43:$Y$52,E$43,$C$59:$D82)</f>
        <v>0</v>
      </c>
      <c r="F82" s="36">
        <f>DSUM($B$43:$Y$52,F$43,$C$59:$D82)</f>
        <v>0</v>
      </c>
      <c r="G82" s="36">
        <f>DSUM($B$43:$Y$52,G$43,$C$59:$D82)</f>
        <v>0</v>
      </c>
      <c r="H82" s="36">
        <f>DSUM($B$43:$Y$52,H$43,$C$59:$D82)</f>
        <v>0</v>
      </c>
      <c r="I82" s="36">
        <f>DSUM($B$43:$Y$52,I$43,$C$59:$D82)</f>
        <v>0</v>
      </c>
      <c r="J82" s="36">
        <f>DSUM($B$43:$Y$52,J$43,$C$59:$D82)</f>
        <v>0</v>
      </c>
      <c r="K82" s="36">
        <f>DSUM($B$43:$Y$52,K$43,$C$59:$D82)</f>
        <v>0</v>
      </c>
      <c r="L82" s="36">
        <f>DSUM($B$43:$Y$52,L$43,$C$59:$D82)</f>
        <v>0</v>
      </c>
      <c r="M82" s="36">
        <f>DSUM($B$43:$Y$52,M$43,$C$59:$D82)</f>
        <v>0</v>
      </c>
      <c r="N82" s="36">
        <f>DSUM($B$43:$Y$52,N$43,$C$59:$D82)</f>
        <v>0</v>
      </c>
      <c r="O82" s="36">
        <f>DSUM($B$43:$Y$52,O$43,$C$59:$D82)</f>
        <v>0</v>
      </c>
      <c r="P82" s="36">
        <f>DSUM($B$43:$Y$52,P$43,$C$59:$D82)</f>
        <v>0</v>
      </c>
      <c r="Q82" s="36">
        <f>DSUM($B$43:$Y$52,Q$43,$C$59:$D82)</f>
        <v>0</v>
      </c>
      <c r="R82" s="36">
        <f>DSUM($B$43:$Y$52,R$43,$C$59:$D82)</f>
        <v>0</v>
      </c>
      <c r="S82" s="36">
        <f>DSUM($B$43:$Y$52,S$43,$C$59:$D82)</f>
        <v>0</v>
      </c>
      <c r="T82" s="36">
        <f>DSUM($B$43:$Y$52,T$43,$C$59:$D82)</f>
        <v>0</v>
      </c>
      <c r="U82" s="36">
        <f>DSUM($B$43:$Y$52,U$43,$C$59:$D82)</f>
        <v>0</v>
      </c>
      <c r="V82" s="36">
        <f>DSUM($B$43:$Y$52,V$43,$C$59:$D82)</f>
        <v>0</v>
      </c>
      <c r="W82" s="36">
        <f>DSUM($B$43:$Y$52,W$43,$C$59:$D82)</f>
        <v>0</v>
      </c>
      <c r="X82" s="36">
        <f>DSUM($B$43:$Y$52,X$43,$C$59:$D82)</f>
        <v>0</v>
      </c>
      <c r="Y82" s="36">
        <f>DSUM($B$43:$Y$52,Y$43,$C$59:$D82)</f>
        <v>0</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9" t="s">
        <v>188</v>
      </c>
      <c r="C83" s="56" t="s">
        <v>189</v>
      </c>
      <c r="D83" s="56" t="s">
        <v>190</v>
      </c>
      <c r="E83" s="36">
        <f>DSUM($B$43:$Y$52,E$43,$C$59:$D83)</f>
        <v>0</v>
      </c>
      <c r="F83" s="36">
        <f>DSUM($B$43:$Y$52,F$43,$C$59:$D83)</f>
        <v>0</v>
      </c>
      <c r="G83" s="36">
        <f>DSUM($B$43:$Y$52,G$43,$C$59:$D83)</f>
        <v>0</v>
      </c>
      <c r="H83" s="36">
        <f>DSUM($B$43:$Y$52,H$43,$C$59:$D83)</f>
        <v>0</v>
      </c>
      <c r="I83" s="36">
        <f>DSUM($B$43:$Y$52,I$43,$C$59:$D83)</f>
        <v>0</v>
      </c>
      <c r="J83" s="36">
        <f>DSUM($B$43:$Y$52,J$43,$C$59:$D83)</f>
        <v>0</v>
      </c>
      <c r="K83" s="36">
        <f>DSUM($B$43:$Y$52,K$43,$C$59:$D83)</f>
        <v>0</v>
      </c>
      <c r="L83" s="36">
        <f>DSUM($B$43:$Y$52,L$43,$C$59:$D83)</f>
        <v>0</v>
      </c>
      <c r="M83" s="36">
        <f>DSUM($B$43:$Y$52,M$43,$C$59:$D83)</f>
        <v>0</v>
      </c>
      <c r="N83" s="36">
        <f>DSUM($B$43:$Y$52,N$43,$C$59:$D83)</f>
        <v>0</v>
      </c>
      <c r="O83" s="36">
        <f>DSUM($B$43:$Y$52,O$43,$C$59:$D83)</f>
        <v>0</v>
      </c>
      <c r="P83" s="36">
        <f>DSUM($B$43:$Y$52,P$43,$C$59:$D83)</f>
        <v>0</v>
      </c>
      <c r="Q83" s="36">
        <f>DSUM($B$43:$Y$52,Q$43,$C$59:$D83)</f>
        <v>0</v>
      </c>
      <c r="R83" s="36">
        <f>DSUM($B$43:$Y$52,R$43,$C$59:$D83)</f>
        <v>0</v>
      </c>
      <c r="S83" s="36">
        <f>DSUM($B$43:$Y$52,S$43,$C$59:$D83)</f>
        <v>0</v>
      </c>
      <c r="T83" s="36">
        <f>DSUM($B$43:$Y$52,T$43,$C$59:$D83)</f>
        <v>0</v>
      </c>
      <c r="U83" s="36">
        <f>DSUM($B$43:$Y$52,U$43,$C$59:$D83)</f>
        <v>0</v>
      </c>
      <c r="V83" s="36">
        <f>DSUM($B$43:$Y$52,V$43,$C$59:$D83)</f>
        <v>0</v>
      </c>
      <c r="W83" s="36">
        <f>DSUM($B$43:$Y$52,W$43,$C$59:$D83)</f>
        <v>0</v>
      </c>
      <c r="X83" s="36">
        <f>DSUM($B$43:$Y$52,X$43,$C$59:$D83)</f>
        <v>0</v>
      </c>
      <c r="Y83" s="36">
        <f>DSUM($B$43:$Y$52,Y$43,$C$59:$D83)</f>
        <v>0</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9" t="s">
        <v>191</v>
      </c>
      <c r="C84" s="56" t="s">
        <v>192</v>
      </c>
      <c r="D84" s="56" t="s">
        <v>193</v>
      </c>
      <c r="E84" s="36">
        <f>DSUM($B$43:$Y$52,E$43,$C$59:$D84)</f>
        <v>0</v>
      </c>
      <c r="F84" s="36">
        <f>DSUM($B$43:$Y$52,F$43,$C$59:$D84)</f>
        <v>0</v>
      </c>
      <c r="G84" s="36">
        <f>DSUM($B$43:$Y$52,G$43,$C$59:$D84)</f>
        <v>0</v>
      </c>
      <c r="H84" s="36">
        <f>DSUM($B$43:$Y$52,H$43,$C$59:$D84)</f>
        <v>0</v>
      </c>
      <c r="I84" s="36">
        <f>DSUM($B$43:$Y$52,I$43,$C$59:$D84)</f>
        <v>0</v>
      </c>
      <c r="J84" s="36">
        <f>DSUM($B$43:$Y$52,J$43,$C$59:$D84)</f>
        <v>0</v>
      </c>
      <c r="K84" s="36">
        <f>DSUM($B$43:$Y$52,K$43,$C$59:$D84)</f>
        <v>0</v>
      </c>
      <c r="L84" s="36">
        <f>DSUM($B$43:$Y$52,L$43,$C$59:$D84)</f>
        <v>0</v>
      </c>
      <c r="M84" s="36">
        <f>DSUM($B$43:$Y$52,M$43,$C$59:$D84)</f>
        <v>0</v>
      </c>
      <c r="N84" s="36">
        <f>DSUM($B$43:$Y$52,N$43,$C$59:$D84)</f>
        <v>0</v>
      </c>
      <c r="O84" s="36">
        <f>DSUM($B$43:$Y$52,O$43,$C$59:$D84)</f>
        <v>0</v>
      </c>
      <c r="P84" s="36">
        <f>DSUM($B$43:$Y$52,P$43,$C$59:$D84)</f>
        <v>0</v>
      </c>
      <c r="Q84" s="36">
        <f>DSUM($B$43:$Y$52,Q$43,$C$59:$D84)</f>
        <v>0</v>
      </c>
      <c r="R84" s="36">
        <f>DSUM($B$43:$Y$52,R$43,$C$59:$D84)</f>
        <v>0</v>
      </c>
      <c r="S84" s="36">
        <f>DSUM($B$43:$Y$52,S$43,$C$59:$D84)</f>
        <v>0</v>
      </c>
      <c r="T84" s="36">
        <f>DSUM($B$43:$Y$52,T$43,$C$59:$D84)</f>
        <v>0</v>
      </c>
      <c r="U84" s="36">
        <f>DSUM($B$43:$Y$52,U$43,$C$59:$D84)</f>
        <v>0</v>
      </c>
      <c r="V84" s="36">
        <f>DSUM($B$43:$Y$52,V$43,$C$59:$D84)</f>
        <v>0</v>
      </c>
      <c r="W84" s="36">
        <f>DSUM($B$43:$Y$52,W$43,$C$59:$D84)</f>
        <v>0</v>
      </c>
      <c r="X84" s="36">
        <f>DSUM($B$43:$Y$52,X$43,$C$59:$D84)</f>
        <v>0</v>
      </c>
      <c r="Y84" s="36">
        <f>DSUM($B$43:$Y$52,Y$43,$C$59:$D84)</f>
        <v>0</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9" t="s">
        <v>194</v>
      </c>
      <c r="C85" s="56" t="s">
        <v>195</v>
      </c>
      <c r="D85" s="56" t="s">
        <v>196</v>
      </c>
      <c r="E85" s="36">
        <f>DSUM($B$43:$Y$52,E$43,$C$59:$D85)</f>
        <v>0</v>
      </c>
      <c r="F85" s="36">
        <f>DSUM($B$43:$Y$52,F$43,$C$59:$D85)</f>
        <v>0</v>
      </c>
      <c r="G85" s="36">
        <f>DSUM($B$43:$Y$52,G$43,$C$59:$D85)</f>
        <v>0</v>
      </c>
      <c r="H85" s="36">
        <f>DSUM($B$43:$Y$52,H$43,$C$59:$D85)</f>
        <v>0</v>
      </c>
      <c r="I85" s="36">
        <f>DSUM($B$43:$Y$52,I$43,$C$59:$D85)</f>
        <v>0</v>
      </c>
      <c r="J85" s="36">
        <f>DSUM($B$43:$Y$52,J$43,$C$59:$D85)</f>
        <v>0</v>
      </c>
      <c r="K85" s="36">
        <f>DSUM($B$43:$Y$52,K$43,$C$59:$D85)</f>
        <v>0</v>
      </c>
      <c r="L85" s="36">
        <f>DSUM($B$43:$Y$52,L$43,$C$59:$D85)</f>
        <v>0</v>
      </c>
      <c r="M85" s="36">
        <f>DSUM($B$43:$Y$52,M$43,$C$59:$D85)</f>
        <v>0</v>
      </c>
      <c r="N85" s="36">
        <f>DSUM($B$43:$Y$52,N$43,$C$59:$D85)</f>
        <v>0</v>
      </c>
      <c r="O85" s="36">
        <f>DSUM($B$43:$Y$52,O$43,$C$59:$D85)</f>
        <v>0</v>
      </c>
      <c r="P85" s="36">
        <f>DSUM($B$43:$Y$52,P$43,$C$59:$D85)</f>
        <v>0</v>
      </c>
      <c r="Q85" s="36">
        <f>DSUM($B$43:$Y$52,Q$43,$C$59:$D85)</f>
        <v>0</v>
      </c>
      <c r="R85" s="36">
        <f>DSUM($B$43:$Y$52,R$43,$C$59:$D85)</f>
        <v>0</v>
      </c>
      <c r="S85" s="36">
        <f>DSUM($B$43:$Y$52,S$43,$C$59:$D85)</f>
        <v>0</v>
      </c>
      <c r="T85" s="36">
        <f>DSUM($B$43:$Y$52,T$43,$C$59:$D85)</f>
        <v>0</v>
      </c>
      <c r="U85" s="36">
        <f>DSUM($B$43:$Y$52,U$43,$C$59:$D85)</f>
        <v>0</v>
      </c>
      <c r="V85" s="36">
        <f>DSUM($B$43:$Y$52,V$43,$C$59:$D85)</f>
        <v>0</v>
      </c>
      <c r="W85" s="36">
        <f>DSUM($B$43:$Y$52,W$43,$C$59:$D85)</f>
        <v>0</v>
      </c>
      <c r="X85" s="36">
        <f>DSUM($B$43:$Y$52,X$43,$C$59:$D85)</f>
        <v>0</v>
      </c>
      <c r="Y85" s="36">
        <f>DSUM($B$43:$Y$52,Y$43,$C$59:$D85)</f>
        <v>0</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9" t="s">
        <v>197</v>
      </c>
      <c r="C86" s="56" t="s">
        <v>198</v>
      </c>
      <c r="D86" s="56" t="s">
        <v>199</v>
      </c>
      <c r="E86" s="36">
        <f>DSUM($B$43:$Y$52,E$43,$C$59:$D86)</f>
        <v>0</v>
      </c>
      <c r="F86" s="36">
        <f>DSUM($B$43:$Y$52,F$43,$C$59:$D86)</f>
        <v>0</v>
      </c>
      <c r="G86" s="36">
        <f>DSUM($B$43:$Y$52,G$43,$C$59:$D86)</f>
        <v>0</v>
      </c>
      <c r="H86" s="36">
        <f>DSUM($B$43:$Y$52,H$43,$C$59:$D86)</f>
        <v>0</v>
      </c>
      <c r="I86" s="36">
        <f>DSUM($B$43:$Y$52,I$43,$C$59:$D86)</f>
        <v>0</v>
      </c>
      <c r="J86" s="36">
        <f>DSUM($B$43:$Y$52,J$43,$C$59:$D86)</f>
        <v>0</v>
      </c>
      <c r="K86" s="36">
        <f>DSUM($B$43:$Y$52,K$43,$C$59:$D86)</f>
        <v>0</v>
      </c>
      <c r="L86" s="36">
        <f>DSUM($B$43:$Y$52,L$43,$C$59:$D86)</f>
        <v>0</v>
      </c>
      <c r="M86" s="36">
        <f>DSUM($B$43:$Y$52,M$43,$C$59:$D86)</f>
        <v>0</v>
      </c>
      <c r="N86" s="36">
        <f>DSUM($B$43:$Y$52,N$43,$C$59:$D86)</f>
        <v>0</v>
      </c>
      <c r="O86" s="36">
        <f>DSUM($B$43:$Y$52,O$43,$C$59:$D86)</f>
        <v>0</v>
      </c>
      <c r="P86" s="36">
        <f>DSUM($B$43:$Y$52,P$43,$C$59:$D86)</f>
        <v>0</v>
      </c>
      <c r="Q86" s="36">
        <f>DSUM($B$43:$Y$52,Q$43,$C$59:$D86)</f>
        <v>0</v>
      </c>
      <c r="R86" s="36">
        <f>DSUM($B$43:$Y$52,R$43,$C$59:$D86)</f>
        <v>0</v>
      </c>
      <c r="S86" s="36">
        <f>DSUM($B$43:$Y$52,S$43,$C$59:$D86)</f>
        <v>0</v>
      </c>
      <c r="T86" s="36">
        <f>DSUM($B$43:$Y$52,T$43,$C$59:$D86)</f>
        <v>0</v>
      </c>
      <c r="U86" s="36">
        <f>DSUM($B$43:$Y$52,U$43,$C$59:$D86)</f>
        <v>0</v>
      </c>
      <c r="V86" s="36">
        <f>DSUM($B$43:$Y$52,V$43,$C$59:$D86)</f>
        <v>0</v>
      </c>
      <c r="W86" s="36">
        <f>DSUM($B$43:$Y$52,W$43,$C$59:$D86)</f>
        <v>0</v>
      </c>
      <c r="X86" s="36">
        <f>DSUM($B$43:$Y$52,X$43,$C$59:$D86)</f>
        <v>0</v>
      </c>
      <c r="Y86" s="36">
        <f>DSUM($B$43:$Y$52,Y$43,$C$59:$D86)</f>
        <v>0</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B87" s="9" t="s">
        <v>200</v>
      </c>
      <c r="C87" s="56" t="s">
        <v>201</v>
      </c>
      <c r="D87" s="56" t="s">
        <v>202</v>
      </c>
      <c r="E87" s="36">
        <f>DSUM($B$43:$Y$52,E$43,$C$59:$D87)</f>
        <v>0</v>
      </c>
      <c r="F87" s="36">
        <f>DSUM($B$43:$Y$52,F$43,$C$59:$D87)</f>
        <v>0</v>
      </c>
      <c r="G87" s="36">
        <f>DSUM($B$43:$Y$52,G$43,$C$59:$D87)</f>
        <v>0</v>
      </c>
      <c r="H87" s="36">
        <f>DSUM($B$43:$Y$52,H$43,$C$59:$D87)</f>
        <v>0</v>
      </c>
      <c r="I87" s="36">
        <f>DSUM($B$43:$Y$52,I$43,$C$59:$D87)</f>
        <v>0</v>
      </c>
      <c r="J87" s="36">
        <f>DSUM($B$43:$Y$52,J$43,$C$59:$D87)</f>
        <v>0</v>
      </c>
      <c r="K87" s="36">
        <f>DSUM($B$43:$Y$52,K$43,$C$59:$D87)</f>
        <v>0</v>
      </c>
      <c r="L87" s="36">
        <f>DSUM($B$43:$Y$52,L$43,$C$59:$D87)</f>
        <v>0</v>
      </c>
      <c r="M87" s="36">
        <f>DSUM($B$43:$Y$52,M$43,$C$59:$D87)</f>
        <v>0</v>
      </c>
      <c r="N87" s="36">
        <f>DSUM($B$43:$Y$52,N$43,$C$59:$D87)</f>
        <v>0</v>
      </c>
      <c r="O87" s="36">
        <f>DSUM($B$43:$Y$52,O$43,$C$59:$D87)</f>
        <v>0</v>
      </c>
      <c r="P87" s="36">
        <f>DSUM($B$43:$Y$52,P$43,$C$59:$D87)</f>
        <v>0</v>
      </c>
      <c r="Q87" s="36">
        <f>DSUM($B$43:$Y$52,Q$43,$C$59:$D87)</f>
        <v>0</v>
      </c>
      <c r="R87" s="36">
        <f>DSUM($B$43:$Y$52,R$43,$C$59:$D87)</f>
        <v>0</v>
      </c>
      <c r="S87" s="36">
        <f>DSUM($B$43:$Y$52,S$43,$C$59:$D87)</f>
        <v>0</v>
      </c>
      <c r="T87" s="36">
        <f>DSUM($B$43:$Y$52,T$43,$C$59:$D87)</f>
        <v>0</v>
      </c>
      <c r="U87" s="36">
        <f>DSUM($B$43:$Y$52,U$43,$C$59:$D87)</f>
        <v>0</v>
      </c>
      <c r="V87" s="36">
        <f>DSUM($B$43:$Y$52,V$43,$C$59:$D87)</f>
        <v>0</v>
      </c>
      <c r="W87" s="36">
        <f>DSUM($B$43:$Y$52,W$43,$C$59:$D87)</f>
        <v>0</v>
      </c>
      <c r="X87" s="36">
        <f>DSUM($B$43:$Y$52,X$43,$C$59:$D87)</f>
        <v>0</v>
      </c>
      <c r="Y87" s="36">
        <f>DSUM($B$43:$Y$52,Y$43,$C$59:$D87)</f>
        <v>0</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B88" s="9" t="s">
        <v>203</v>
      </c>
      <c r="C88" s="56" t="s">
        <v>204</v>
      </c>
      <c r="D88" s="56" t="s">
        <v>205</v>
      </c>
      <c r="E88" s="36">
        <f>DSUM($B$43:$Y$52,E$43,$C$59:$D88)</f>
        <v>0</v>
      </c>
      <c r="F88" s="36">
        <f>DSUM($B$43:$Y$52,F$43,$C$59:$D88)</f>
        <v>0</v>
      </c>
      <c r="G88" s="36">
        <f>DSUM($B$43:$Y$52,G$43,$C$59:$D88)</f>
        <v>0</v>
      </c>
      <c r="H88" s="36">
        <f>DSUM($B$43:$Y$52,H$43,$C$59:$D88)</f>
        <v>0</v>
      </c>
      <c r="I88" s="36">
        <f>DSUM($B$43:$Y$52,I$43,$C$59:$D88)</f>
        <v>0</v>
      </c>
      <c r="J88" s="36">
        <f>DSUM($B$43:$Y$52,J$43,$C$59:$D88)</f>
        <v>0</v>
      </c>
      <c r="K88" s="36">
        <f>DSUM($B$43:$Y$52,K$43,$C$59:$D88)</f>
        <v>0</v>
      </c>
      <c r="L88" s="36">
        <f>DSUM($B$43:$Y$52,L$43,$C$59:$D88)</f>
        <v>0</v>
      </c>
      <c r="M88" s="36">
        <f>DSUM($B$43:$Y$52,M$43,$C$59:$D88)</f>
        <v>0</v>
      </c>
      <c r="N88" s="36">
        <f>DSUM($B$43:$Y$52,N$43,$C$59:$D88)</f>
        <v>0</v>
      </c>
      <c r="O88" s="36">
        <f>DSUM($B$43:$Y$52,O$43,$C$59:$D88)</f>
        <v>0</v>
      </c>
      <c r="P88" s="36">
        <f>DSUM($B$43:$Y$52,P$43,$C$59:$D88)</f>
        <v>0</v>
      </c>
      <c r="Q88" s="36">
        <f>DSUM($B$43:$Y$52,Q$43,$C$59:$D88)</f>
        <v>0</v>
      </c>
      <c r="R88" s="36">
        <f>DSUM($B$43:$Y$52,R$43,$C$59:$D88)</f>
        <v>0</v>
      </c>
      <c r="S88" s="36">
        <f>DSUM($B$43:$Y$52,S$43,$C$59:$D88)</f>
        <v>0</v>
      </c>
      <c r="T88" s="36">
        <f>DSUM($B$43:$Y$52,T$43,$C$59:$D88)</f>
        <v>0</v>
      </c>
      <c r="U88" s="36">
        <f>DSUM($B$43:$Y$52,U$43,$C$59:$D88)</f>
        <v>0</v>
      </c>
      <c r="V88" s="36">
        <f>DSUM($B$43:$Y$52,V$43,$C$59:$D88)</f>
        <v>0</v>
      </c>
      <c r="W88" s="36">
        <f>DSUM($B$43:$Y$52,W$43,$C$59:$D88)</f>
        <v>0</v>
      </c>
      <c r="X88" s="36">
        <f>DSUM($B$43:$Y$52,X$43,$C$59:$D88)</f>
        <v>0</v>
      </c>
      <c r="Y88" s="36">
        <f>DSUM($B$43:$Y$52,Y$43,$C$59:$D88)</f>
        <v>0</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B89" s="9" t="s">
        <v>206</v>
      </c>
      <c r="C89" s="56" t="s">
        <v>207</v>
      </c>
      <c r="D89" s="56" t="s">
        <v>208</v>
      </c>
      <c r="E89" s="36">
        <f>DSUM($B$43:$Y$52,E$43,$C$59:$D89)</f>
        <v>0</v>
      </c>
      <c r="F89" s="36">
        <f>DSUM($B$43:$Y$52,F$43,$C$59:$D89)</f>
        <v>0</v>
      </c>
      <c r="G89" s="36">
        <f>DSUM($B$43:$Y$52,G$43,$C$59:$D89)</f>
        <v>0</v>
      </c>
      <c r="H89" s="36">
        <f>DSUM($B$43:$Y$52,H$43,$C$59:$D89)</f>
        <v>0</v>
      </c>
      <c r="I89" s="36">
        <f>DSUM($B$43:$Y$52,I$43,$C$59:$D89)</f>
        <v>0</v>
      </c>
      <c r="J89" s="36">
        <f>DSUM($B$43:$Y$52,J$43,$C$59:$D89)</f>
        <v>0</v>
      </c>
      <c r="K89" s="36">
        <f>DSUM($B$43:$Y$52,K$43,$C$59:$D89)</f>
        <v>0</v>
      </c>
      <c r="L89" s="36">
        <f>DSUM($B$43:$Y$52,L$43,$C$59:$D89)</f>
        <v>0</v>
      </c>
      <c r="M89" s="36">
        <f>DSUM($B$43:$Y$52,M$43,$C$59:$D89)</f>
        <v>0</v>
      </c>
      <c r="N89" s="36">
        <f>DSUM($B$43:$Y$52,N$43,$C$59:$D89)</f>
        <v>0</v>
      </c>
      <c r="O89" s="36">
        <f>DSUM($B$43:$Y$52,O$43,$C$59:$D89)</f>
        <v>0</v>
      </c>
      <c r="P89" s="36">
        <f>DSUM($B$43:$Y$52,P$43,$C$59:$D89)</f>
        <v>0</v>
      </c>
      <c r="Q89" s="36">
        <f>DSUM($B$43:$Y$52,Q$43,$C$59:$D89)</f>
        <v>0</v>
      </c>
      <c r="R89" s="36">
        <f>DSUM($B$43:$Y$52,R$43,$C$59:$D89)</f>
        <v>0</v>
      </c>
      <c r="S89" s="36">
        <f>DSUM($B$43:$Y$52,S$43,$C$59:$D89)</f>
        <v>0</v>
      </c>
      <c r="T89" s="36">
        <f>DSUM($B$43:$Y$52,T$43,$C$59:$D89)</f>
        <v>0</v>
      </c>
      <c r="U89" s="36">
        <f>DSUM($B$43:$Y$52,U$43,$C$59:$D89)</f>
        <v>0</v>
      </c>
      <c r="V89" s="36">
        <f>DSUM($B$43:$Y$52,V$43,$C$59:$D89)</f>
        <v>0</v>
      </c>
      <c r="W89" s="36">
        <f>DSUM($B$43:$Y$52,W$43,$C$59:$D89)</f>
        <v>0</v>
      </c>
      <c r="X89" s="36">
        <f>DSUM($B$43:$Y$52,X$43,$C$59:$D89)</f>
        <v>0</v>
      </c>
      <c r="Y89" s="36">
        <f>DSUM($B$43:$Y$52,Y$43,$C$59:$D89)</f>
        <v>0</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B90" s="9" t="s">
        <v>209</v>
      </c>
      <c r="C90" s="56" t="s">
        <v>210</v>
      </c>
      <c r="D90" s="56" t="s">
        <v>211</v>
      </c>
      <c r="E90" s="36">
        <f>DSUM($B$43:$Y$52,E$43,$C$59:$D90)</f>
        <v>0</v>
      </c>
      <c r="F90" s="36">
        <f>DSUM($B$43:$Y$52,F$43,$C$59:$D90)</f>
        <v>0</v>
      </c>
      <c r="G90" s="36">
        <f>DSUM($B$43:$Y$52,G$43,$C$59:$D90)</f>
        <v>0</v>
      </c>
      <c r="H90" s="36">
        <f>DSUM($B$43:$Y$52,H$43,$C$59:$D90)</f>
        <v>0</v>
      </c>
      <c r="I90" s="36">
        <f>DSUM($B$43:$Y$52,I$43,$C$59:$D90)</f>
        <v>0</v>
      </c>
      <c r="J90" s="36">
        <f>DSUM($B$43:$Y$52,J$43,$C$59:$D90)</f>
        <v>0</v>
      </c>
      <c r="K90" s="36">
        <f>DSUM($B$43:$Y$52,K$43,$C$59:$D90)</f>
        <v>0</v>
      </c>
      <c r="L90" s="36">
        <f>DSUM($B$43:$Y$52,L$43,$C$59:$D90)</f>
        <v>0</v>
      </c>
      <c r="M90" s="36">
        <f>DSUM($B$43:$Y$52,M$43,$C$59:$D90)</f>
        <v>0</v>
      </c>
      <c r="N90" s="36">
        <f>DSUM($B$43:$Y$52,N$43,$C$59:$D90)</f>
        <v>0</v>
      </c>
      <c r="O90" s="36">
        <f>DSUM($B$43:$Y$52,O$43,$C$59:$D90)</f>
        <v>0</v>
      </c>
      <c r="P90" s="36">
        <f>DSUM($B$43:$Y$52,P$43,$C$59:$D90)</f>
        <v>0</v>
      </c>
      <c r="Q90" s="36">
        <f>DSUM($B$43:$Y$52,Q$43,$C$59:$D90)</f>
        <v>0</v>
      </c>
      <c r="R90" s="36">
        <f>DSUM($B$43:$Y$52,R$43,$C$59:$D90)</f>
        <v>0</v>
      </c>
      <c r="S90" s="36">
        <f>DSUM($B$43:$Y$52,S$43,$C$59:$D90)</f>
        <v>0</v>
      </c>
      <c r="T90" s="36">
        <f>DSUM($B$43:$Y$52,T$43,$C$59:$D90)</f>
        <v>0</v>
      </c>
      <c r="U90" s="36">
        <f>DSUM($B$43:$Y$52,U$43,$C$59:$D90)</f>
        <v>0</v>
      </c>
      <c r="V90" s="36">
        <f>DSUM($B$43:$Y$52,V$43,$C$59:$D90)</f>
        <v>0</v>
      </c>
      <c r="W90" s="36">
        <f>DSUM($B$43:$Y$52,W$43,$C$59:$D90)</f>
        <v>0</v>
      </c>
      <c r="X90" s="36">
        <f>DSUM($B$43:$Y$52,X$43,$C$59:$D90)</f>
        <v>0</v>
      </c>
      <c r="Y90" s="36">
        <f>DSUM($B$43:$Y$52,Y$43,$C$59:$D90)</f>
        <v>0</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B91" s="9" t="s">
        <v>212</v>
      </c>
      <c r="C91" s="56" t="s">
        <v>213</v>
      </c>
      <c r="D91" s="56" t="s">
        <v>133</v>
      </c>
      <c r="E91" s="36">
        <f>DSUM($B$43:$Y$52,E$43,$C$59:$D91)</f>
        <v>0</v>
      </c>
      <c r="F91" s="36">
        <f>DSUM($B$43:$Y$52,F$43,$C$59:$D91)</f>
        <v>0</v>
      </c>
      <c r="G91" s="36">
        <f>DSUM($B$43:$Y$52,G$43,$C$59:$D91)</f>
        <v>0</v>
      </c>
      <c r="H91" s="36">
        <f>DSUM($B$43:$Y$52,H$43,$C$59:$D91)</f>
        <v>0</v>
      </c>
      <c r="I91" s="36">
        <f>DSUM($B$43:$Y$52,I$43,$C$59:$D91)</f>
        <v>0</v>
      </c>
      <c r="J91" s="36">
        <f>DSUM($B$43:$Y$52,J$43,$C$59:$D91)</f>
        <v>0</v>
      </c>
      <c r="K91" s="36">
        <f>DSUM($B$43:$Y$52,K$43,$C$59:$D91)</f>
        <v>0</v>
      </c>
      <c r="L91" s="36">
        <f>DSUM($B$43:$Y$52,L$43,$C$59:$D91)</f>
        <v>0</v>
      </c>
      <c r="M91" s="36">
        <f>DSUM($B$43:$Y$52,M$43,$C$59:$D91)</f>
        <v>0</v>
      </c>
      <c r="N91" s="36">
        <f>DSUM($B$43:$Y$52,N$43,$C$59:$D91)</f>
        <v>0</v>
      </c>
      <c r="O91" s="36">
        <f>DSUM($B$43:$Y$52,O$43,$C$59:$D91)</f>
        <v>0</v>
      </c>
      <c r="P91" s="36">
        <f>DSUM($B$43:$Y$52,P$43,$C$59:$D91)</f>
        <v>0</v>
      </c>
      <c r="Q91" s="36">
        <f>DSUM($B$43:$Y$52,Q$43,$C$59:$D91)</f>
        <v>0</v>
      </c>
      <c r="R91" s="36">
        <f>DSUM($B$43:$Y$52,R$43,$C$59:$D91)</f>
        <v>0</v>
      </c>
      <c r="S91" s="36">
        <f>DSUM($B$43:$Y$52,S$43,$C$59:$D91)</f>
        <v>0</v>
      </c>
      <c r="T91" s="36">
        <f>DSUM($B$43:$Y$52,T$43,$C$59:$D91)</f>
        <v>0</v>
      </c>
      <c r="U91" s="36">
        <f>DSUM($B$43:$Y$52,U$43,$C$59:$D91)</f>
        <v>0</v>
      </c>
      <c r="V91" s="36">
        <f>DSUM($B$43:$Y$52,V$43,$C$59:$D91)</f>
        <v>0</v>
      </c>
      <c r="W91" s="36">
        <f>DSUM($B$43:$Y$52,W$43,$C$59:$D91)</f>
        <v>0</v>
      </c>
      <c r="X91" s="36">
        <f>DSUM($B$43:$Y$52,X$43,$C$59:$D91)</f>
        <v>0</v>
      </c>
      <c r="Y91" s="36">
        <f>DSUM($B$43:$Y$52,Y$43,$C$59:$D91)</f>
        <v>0</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ht="15">
      <c r="A94" s="61" t="s">
        <v>134</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ht="15">
      <c r="C95" s="70" t="s">
        <v>139</v>
      </c>
      <c r="D95" s="70"/>
      <c r="E95" s="64">
        <f t="shared" ref="E95:X95" si="25">E11</f>
        <v>2016</v>
      </c>
      <c r="F95" s="65">
        <f t="shared" si="25"/>
        <v>2017</v>
      </c>
      <c r="G95" s="65">
        <f t="shared" si="25"/>
        <v>2018</v>
      </c>
      <c r="H95" s="65">
        <f t="shared" si="25"/>
        <v>2019</v>
      </c>
      <c r="I95" s="65">
        <f t="shared" si="25"/>
        <v>2020</v>
      </c>
      <c r="J95" s="65">
        <f t="shared" si="25"/>
        <v>2021</v>
      </c>
      <c r="K95" s="65">
        <f t="shared" si="25"/>
        <v>2022</v>
      </c>
      <c r="L95" s="65">
        <f t="shared" si="25"/>
        <v>2023</v>
      </c>
      <c r="M95" s="65">
        <f t="shared" si="25"/>
        <v>2024</v>
      </c>
      <c r="N95" s="65">
        <f t="shared" si="25"/>
        <v>2025</v>
      </c>
      <c r="O95" s="65">
        <f t="shared" si="25"/>
        <v>2026</v>
      </c>
      <c r="P95" s="65">
        <f t="shared" si="25"/>
        <v>2027</v>
      </c>
      <c r="Q95" s="65">
        <f t="shared" si="25"/>
        <v>2028</v>
      </c>
      <c r="R95" s="65">
        <f t="shared" si="25"/>
        <v>2029</v>
      </c>
      <c r="S95" s="65">
        <f t="shared" si="25"/>
        <v>2030</v>
      </c>
      <c r="T95" s="65">
        <f t="shared" si="25"/>
        <v>2031</v>
      </c>
      <c r="U95" s="65">
        <f t="shared" si="25"/>
        <v>2032</v>
      </c>
      <c r="V95" s="65">
        <f t="shared" si="25"/>
        <v>2033</v>
      </c>
      <c r="W95" s="65">
        <f t="shared" si="25"/>
        <v>2034</v>
      </c>
      <c r="X95" s="65">
        <f t="shared" si="25"/>
        <v>2035</v>
      </c>
      <c r="Y95" s="66" t="s">
        <v>61</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ht="15">
      <c r="C96" s="70" t="str">
        <f>C8</f>
        <v>Solar Water Heater</v>
      </c>
      <c r="D96" s="70"/>
      <c r="E96" s="67" t="str">
        <f>CONCATENATE("aMW_",E$11)</f>
        <v>aMW_2016</v>
      </c>
      <c r="F96" s="68" t="str">
        <f t="shared" ref="F96:X96" si="26">CONCATENATE("aMW_",F$11)</f>
        <v>aMW_2017</v>
      </c>
      <c r="G96" s="68" t="str">
        <f t="shared" si="26"/>
        <v>aMW_2018</v>
      </c>
      <c r="H96" s="68" t="str">
        <f t="shared" si="26"/>
        <v>aMW_2019</v>
      </c>
      <c r="I96" s="68" t="str">
        <f t="shared" si="26"/>
        <v>aMW_2020</v>
      </c>
      <c r="J96" s="68" t="str">
        <f t="shared" si="26"/>
        <v>aMW_2021</v>
      </c>
      <c r="K96" s="68" t="str">
        <f t="shared" si="26"/>
        <v>aMW_2022</v>
      </c>
      <c r="L96" s="68" t="str">
        <f t="shared" si="26"/>
        <v>aMW_2023</v>
      </c>
      <c r="M96" s="68" t="str">
        <f t="shared" si="26"/>
        <v>aMW_2024</v>
      </c>
      <c r="N96" s="68" t="str">
        <f t="shared" si="26"/>
        <v>aMW_2025</v>
      </c>
      <c r="O96" s="68" t="str">
        <f t="shared" si="26"/>
        <v>aMW_2026</v>
      </c>
      <c r="P96" s="68" t="str">
        <f t="shared" si="26"/>
        <v>aMW_2027</v>
      </c>
      <c r="Q96" s="68" t="str">
        <f t="shared" si="26"/>
        <v>aMW_2028</v>
      </c>
      <c r="R96" s="68" t="str">
        <f t="shared" si="26"/>
        <v>aMW_2029</v>
      </c>
      <c r="S96" s="68" t="str">
        <f t="shared" si="26"/>
        <v>aMW_2030</v>
      </c>
      <c r="T96" s="68" t="str">
        <f t="shared" si="26"/>
        <v>aMW_2031</v>
      </c>
      <c r="U96" s="68" t="str">
        <f t="shared" si="26"/>
        <v>aMW_2032</v>
      </c>
      <c r="V96" s="68" t="str">
        <f t="shared" si="26"/>
        <v>aMW_2033</v>
      </c>
      <c r="W96" s="68" t="str">
        <f t="shared" si="26"/>
        <v>aMW_2034</v>
      </c>
      <c r="X96" s="68" t="str">
        <f t="shared" si="26"/>
        <v>aMW_2035</v>
      </c>
      <c r="Y96" s="69" t="s">
        <v>61</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9" t="s">
        <v>70</v>
      </c>
      <c r="E97" s="36">
        <f t="shared" ref="E97:Y97" si="27">E60</f>
        <v>0</v>
      </c>
      <c r="F97" s="36">
        <f t="shared" si="27"/>
        <v>0</v>
      </c>
      <c r="G97" s="36">
        <f t="shared" si="27"/>
        <v>0</v>
      </c>
      <c r="H97" s="36">
        <f t="shared" si="27"/>
        <v>0</v>
      </c>
      <c r="I97" s="36">
        <f t="shared" si="27"/>
        <v>0</v>
      </c>
      <c r="J97" s="36">
        <f t="shared" si="27"/>
        <v>0</v>
      </c>
      <c r="K97" s="36">
        <f t="shared" si="27"/>
        <v>0</v>
      </c>
      <c r="L97" s="36">
        <f t="shared" si="27"/>
        <v>0</v>
      </c>
      <c r="M97" s="36">
        <f t="shared" si="27"/>
        <v>0</v>
      </c>
      <c r="N97" s="36">
        <f t="shared" si="27"/>
        <v>0</v>
      </c>
      <c r="O97" s="36">
        <f t="shared" si="27"/>
        <v>0</v>
      </c>
      <c r="P97" s="36">
        <f t="shared" si="27"/>
        <v>0</v>
      </c>
      <c r="Q97" s="36">
        <f t="shared" si="27"/>
        <v>0</v>
      </c>
      <c r="R97" s="36">
        <f t="shared" si="27"/>
        <v>0</v>
      </c>
      <c r="S97" s="36">
        <f t="shared" si="27"/>
        <v>0</v>
      </c>
      <c r="T97" s="36">
        <f t="shared" si="27"/>
        <v>0</v>
      </c>
      <c r="U97" s="36">
        <f t="shared" si="27"/>
        <v>0</v>
      </c>
      <c r="V97" s="36">
        <f t="shared" si="27"/>
        <v>0</v>
      </c>
      <c r="W97" s="36">
        <f t="shared" si="27"/>
        <v>0</v>
      </c>
      <c r="X97" s="36">
        <f t="shared" si="27"/>
        <v>0</v>
      </c>
      <c r="Y97" s="36">
        <f t="shared" si="27"/>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9" t="s">
        <v>217</v>
      </c>
      <c r="E98" s="36">
        <f t="shared" ref="E98:X110" si="28">E61-E60</f>
        <v>0</v>
      </c>
      <c r="F98" s="36">
        <f t="shared" si="28"/>
        <v>0</v>
      </c>
      <c r="G98" s="36">
        <f t="shared" si="28"/>
        <v>0</v>
      </c>
      <c r="H98" s="36">
        <f t="shared" si="28"/>
        <v>0</v>
      </c>
      <c r="I98" s="36">
        <f t="shared" si="28"/>
        <v>0</v>
      </c>
      <c r="J98" s="36">
        <f t="shared" si="28"/>
        <v>0</v>
      </c>
      <c r="K98" s="36">
        <f t="shared" si="28"/>
        <v>0</v>
      </c>
      <c r="L98" s="36">
        <f t="shared" si="28"/>
        <v>0</v>
      </c>
      <c r="M98" s="36">
        <f t="shared" si="28"/>
        <v>0</v>
      </c>
      <c r="N98" s="36">
        <f t="shared" si="28"/>
        <v>0</v>
      </c>
      <c r="O98" s="36">
        <f t="shared" si="28"/>
        <v>0</v>
      </c>
      <c r="P98" s="36">
        <f t="shared" si="28"/>
        <v>0</v>
      </c>
      <c r="Q98" s="36">
        <f t="shared" si="28"/>
        <v>0</v>
      </c>
      <c r="R98" s="36">
        <f t="shared" si="28"/>
        <v>0</v>
      </c>
      <c r="S98" s="36">
        <f t="shared" si="28"/>
        <v>0</v>
      </c>
      <c r="T98" s="36">
        <f t="shared" si="28"/>
        <v>0</v>
      </c>
      <c r="U98" s="36">
        <f t="shared" si="28"/>
        <v>0</v>
      </c>
      <c r="V98" s="36">
        <f t="shared" si="28"/>
        <v>0</v>
      </c>
      <c r="W98" s="36">
        <f t="shared" si="28"/>
        <v>0</v>
      </c>
      <c r="X98" s="36">
        <f t="shared" si="28"/>
        <v>0</v>
      </c>
      <c r="Y98" s="36">
        <f t="shared" ref="Y98" si="29">Y61-Y60</f>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9" t="s">
        <v>75</v>
      </c>
      <c r="E99" s="36">
        <f t="shared" si="28"/>
        <v>0</v>
      </c>
      <c r="F99" s="36">
        <f t="shared" si="28"/>
        <v>0</v>
      </c>
      <c r="G99" s="36">
        <f t="shared" si="28"/>
        <v>0</v>
      </c>
      <c r="H99" s="36">
        <f t="shared" si="28"/>
        <v>0</v>
      </c>
      <c r="I99" s="36">
        <f t="shared" si="28"/>
        <v>0</v>
      </c>
      <c r="J99" s="36">
        <f t="shared" si="28"/>
        <v>0</v>
      </c>
      <c r="K99" s="36">
        <f t="shared" si="28"/>
        <v>0</v>
      </c>
      <c r="L99" s="36">
        <f t="shared" si="28"/>
        <v>0</v>
      </c>
      <c r="M99" s="36">
        <f t="shared" si="28"/>
        <v>0</v>
      </c>
      <c r="N99" s="36">
        <f t="shared" si="28"/>
        <v>0</v>
      </c>
      <c r="O99" s="36">
        <f t="shared" si="28"/>
        <v>0</v>
      </c>
      <c r="P99" s="36">
        <f t="shared" si="28"/>
        <v>0</v>
      </c>
      <c r="Q99" s="36">
        <f t="shared" si="28"/>
        <v>0</v>
      </c>
      <c r="R99" s="36">
        <f t="shared" si="28"/>
        <v>0</v>
      </c>
      <c r="S99" s="36">
        <f t="shared" si="28"/>
        <v>0</v>
      </c>
      <c r="T99" s="36">
        <f t="shared" si="28"/>
        <v>0</v>
      </c>
      <c r="U99" s="36">
        <f t="shared" si="28"/>
        <v>0</v>
      </c>
      <c r="V99" s="36">
        <f t="shared" si="28"/>
        <v>0</v>
      </c>
      <c r="W99" s="36">
        <f t="shared" si="28"/>
        <v>0</v>
      </c>
      <c r="X99" s="36">
        <f t="shared" si="28"/>
        <v>0</v>
      </c>
      <c r="Y99" s="36">
        <f t="shared" ref="Y99" si="30">Y62-Y61</f>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9" t="s">
        <v>78</v>
      </c>
      <c r="E100" s="36">
        <f t="shared" si="28"/>
        <v>0</v>
      </c>
      <c r="F100" s="36">
        <f t="shared" si="28"/>
        <v>0</v>
      </c>
      <c r="G100" s="36">
        <f t="shared" si="28"/>
        <v>0</v>
      </c>
      <c r="H100" s="36">
        <f t="shared" si="28"/>
        <v>0</v>
      </c>
      <c r="I100" s="36">
        <f t="shared" si="28"/>
        <v>0</v>
      </c>
      <c r="J100" s="36">
        <f t="shared" si="28"/>
        <v>0</v>
      </c>
      <c r="K100" s="36">
        <f t="shared" si="28"/>
        <v>0</v>
      </c>
      <c r="L100" s="36">
        <f t="shared" si="28"/>
        <v>0</v>
      </c>
      <c r="M100" s="36">
        <f t="shared" si="28"/>
        <v>0</v>
      </c>
      <c r="N100" s="36">
        <f t="shared" si="28"/>
        <v>0</v>
      </c>
      <c r="O100" s="36">
        <f t="shared" si="28"/>
        <v>0</v>
      </c>
      <c r="P100" s="36">
        <f t="shared" si="28"/>
        <v>0</v>
      </c>
      <c r="Q100" s="36">
        <f t="shared" si="28"/>
        <v>0</v>
      </c>
      <c r="R100" s="36">
        <f t="shared" si="28"/>
        <v>0</v>
      </c>
      <c r="S100" s="36">
        <f t="shared" si="28"/>
        <v>0</v>
      </c>
      <c r="T100" s="36">
        <f t="shared" si="28"/>
        <v>0</v>
      </c>
      <c r="U100" s="36">
        <f t="shared" si="28"/>
        <v>0</v>
      </c>
      <c r="V100" s="36">
        <f t="shared" si="28"/>
        <v>0</v>
      </c>
      <c r="W100" s="36">
        <f t="shared" si="28"/>
        <v>0</v>
      </c>
      <c r="X100" s="36">
        <f t="shared" si="28"/>
        <v>0</v>
      </c>
      <c r="Y100" s="36">
        <f t="shared" ref="Y100" si="31">Y63-Y62</f>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9" t="s">
        <v>81</v>
      </c>
      <c r="E101" s="41">
        <f t="shared" si="28"/>
        <v>0</v>
      </c>
      <c r="F101" s="41">
        <f t="shared" si="28"/>
        <v>0</v>
      </c>
      <c r="G101" s="41">
        <f t="shared" si="28"/>
        <v>0</v>
      </c>
      <c r="H101" s="41">
        <f t="shared" si="28"/>
        <v>0</v>
      </c>
      <c r="I101" s="41">
        <f t="shared" si="28"/>
        <v>0</v>
      </c>
      <c r="J101" s="41">
        <f t="shared" si="28"/>
        <v>0</v>
      </c>
      <c r="K101" s="41">
        <f t="shared" si="28"/>
        <v>0</v>
      </c>
      <c r="L101" s="41">
        <f t="shared" si="28"/>
        <v>0</v>
      </c>
      <c r="M101" s="41">
        <f t="shared" si="28"/>
        <v>0</v>
      </c>
      <c r="N101" s="41">
        <f t="shared" si="28"/>
        <v>0</v>
      </c>
      <c r="O101" s="41">
        <f t="shared" si="28"/>
        <v>0</v>
      </c>
      <c r="P101" s="41">
        <f t="shared" si="28"/>
        <v>0</v>
      </c>
      <c r="Q101" s="41">
        <f t="shared" si="28"/>
        <v>0</v>
      </c>
      <c r="R101" s="41">
        <f t="shared" si="28"/>
        <v>0</v>
      </c>
      <c r="S101" s="41">
        <f t="shared" si="28"/>
        <v>0</v>
      </c>
      <c r="T101" s="41">
        <f t="shared" si="28"/>
        <v>0</v>
      </c>
      <c r="U101" s="41">
        <f t="shared" si="28"/>
        <v>0</v>
      </c>
      <c r="V101" s="41">
        <f t="shared" si="28"/>
        <v>0</v>
      </c>
      <c r="W101" s="41">
        <f t="shared" si="28"/>
        <v>0</v>
      </c>
      <c r="X101" s="41">
        <f t="shared" si="28"/>
        <v>0</v>
      </c>
      <c r="Y101" s="41">
        <f t="shared" ref="Y101" si="32">Y64-Y63</f>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9" t="s">
        <v>84</v>
      </c>
      <c r="E102" s="41">
        <f t="shared" si="28"/>
        <v>0</v>
      </c>
      <c r="F102" s="41">
        <f t="shared" si="28"/>
        <v>0</v>
      </c>
      <c r="G102" s="41">
        <f t="shared" si="28"/>
        <v>0</v>
      </c>
      <c r="H102" s="41">
        <f t="shared" si="28"/>
        <v>0</v>
      </c>
      <c r="I102" s="41">
        <f t="shared" si="28"/>
        <v>0</v>
      </c>
      <c r="J102" s="41">
        <f t="shared" si="28"/>
        <v>0</v>
      </c>
      <c r="K102" s="41">
        <f t="shared" si="28"/>
        <v>0</v>
      </c>
      <c r="L102" s="41">
        <f t="shared" si="28"/>
        <v>0</v>
      </c>
      <c r="M102" s="41">
        <f t="shared" si="28"/>
        <v>0</v>
      </c>
      <c r="N102" s="41">
        <f t="shared" si="28"/>
        <v>0</v>
      </c>
      <c r="O102" s="41">
        <f t="shared" si="28"/>
        <v>0</v>
      </c>
      <c r="P102" s="41">
        <f t="shared" si="28"/>
        <v>0</v>
      </c>
      <c r="Q102" s="41">
        <f t="shared" si="28"/>
        <v>0</v>
      </c>
      <c r="R102" s="41">
        <f t="shared" si="28"/>
        <v>0</v>
      </c>
      <c r="S102" s="41">
        <f t="shared" si="28"/>
        <v>0</v>
      </c>
      <c r="T102" s="41">
        <f t="shared" si="28"/>
        <v>0</v>
      </c>
      <c r="U102" s="41">
        <f t="shared" si="28"/>
        <v>0</v>
      </c>
      <c r="V102" s="41">
        <f t="shared" si="28"/>
        <v>0</v>
      </c>
      <c r="W102" s="41">
        <f t="shared" si="28"/>
        <v>0</v>
      </c>
      <c r="X102" s="41">
        <f t="shared" si="28"/>
        <v>0</v>
      </c>
      <c r="Y102" s="41">
        <f t="shared" ref="Y102" si="33">Y65-Y64</f>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9" t="s">
        <v>87</v>
      </c>
      <c r="E103" s="41">
        <f t="shared" si="28"/>
        <v>0</v>
      </c>
      <c r="F103" s="41">
        <f t="shared" si="28"/>
        <v>0</v>
      </c>
      <c r="G103" s="41">
        <f t="shared" si="28"/>
        <v>0</v>
      </c>
      <c r="H103" s="41">
        <f t="shared" si="28"/>
        <v>0</v>
      </c>
      <c r="I103" s="41">
        <f t="shared" si="28"/>
        <v>0</v>
      </c>
      <c r="J103" s="41">
        <f t="shared" si="28"/>
        <v>0</v>
      </c>
      <c r="K103" s="41">
        <f t="shared" si="28"/>
        <v>0</v>
      </c>
      <c r="L103" s="41">
        <f t="shared" si="28"/>
        <v>0</v>
      </c>
      <c r="M103" s="41">
        <f t="shared" si="28"/>
        <v>0</v>
      </c>
      <c r="N103" s="41">
        <f t="shared" si="28"/>
        <v>0</v>
      </c>
      <c r="O103" s="41">
        <f t="shared" si="28"/>
        <v>0</v>
      </c>
      <c r="P103" s="41">
        <f t="shared" si="28"/>
        <v>0</v>
      </c>
      <c r="Q103" s="41">
        <f t="shared" si="28"/>
        <v>0</v>
      </c>
      <c r="R103" s="41">
        <f t="shared" si="28"/>
        <v>0</v>
      </c>
      <c r="S103" s="41">
        <f t="shared" si="28"/>
        <v>0</v>
      </c>
      <c r="T103" s="41">
        <f t="shared" si="28"/>
        <v>0</v>
      </c>
      <c r="U103" s="41">
        <f t="shared" si="28"/>
        <v>0</v>
      </c>
      <c r="V103" s="41">
        <f t="shared" si="28"/>
        <v>0</v>
      </c>
      <c r="W103" s="41">
        <f t="shared" si="28"/>
        <v>0</v>
      </c>
      <c r="X103" s="41">
        <f t="shared" si="28"/>
        <v>0</v>
      </c>
      <c r="Y103" s="41">
        <f t="shared" ref="Y103" si="34">Y66-Y65</f>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9" t="s">
        <v>90</v>
      </c>
      <c r="E104" s="41">
        <f t="shared" si="28"/>
        <v>0</v>
      </c>
      <c r="F104" s="41">
        <f t="shared" si="28"/>
        <v>0</v>
      </c>
      <c r="G104" s="41">
        <f t="shared" si="28"/>
        <v>0</v>
      </c>
      <c r="H104" s="41">
        <f t="shared" si="28"/>
        <v>0</v>
      </c>
      <c r="I104" s="41">
        <f t="shared" si="28"/>
        <v>0</v>
      </c>
      <c r="J104" s="41">
        <f t="shared" si="28"/>
        <v>0</v>
      </c>
      <c r="K104" s="41">
        <f t="shared" si="28"/>
        <v>0</v>
      </c>
      <c r="L104" s="41">
        <f t="shared" si="28"/>
        <v>0</v>
      </c>
      <c r="M104" s="41">
        <f t="shared" si="28"/>
        <v>0</v>
      </c>
      <c r="N104" s="41">
        <f t="shared" si="28"/>
        <v>0</v>
      </c>
      <c r="O104" s="41">
        <f t="shared" si="28"/>
        <v>0</v>
      </c>
      <c r="P104" s="41">
        <f t="shared" si="28"/>
        <v>0</v>
      </c>
      <c r="Q104" s="41">
        <f t="shared" si="28"/>
        <v>0</v>
      </c>
      <c r="R104" s="41">
        <f t="shared" si="28"/>
        <v>0</v>
      </c>
      <c r="S104" s="41">
        <f t="shared" si="28"/>
        <v>0</v>
      </c>
      <c r="T104" s="41">
        <f t="shared" si="28"/>
        <v>0</v>
      </c>
      <c r="U104" s="41">
        <f t="shared" si="28"/>
        <v>0</v>
      </c>
      <c r="V104" s="41">
        <f t="shared" si="28"/>
        <v>0</v>
      </c>
      <c r="W104" s="41">
        <f t="shared" si="28"/>
        <v>0</v>
      </c>
      <c r="X104" s="41">
        <f t="shared" si="28"/>
        <v>0</v>
      </c>
      <c r="Y104" s="41">
        <f t="shared" ref="Y104" si="35">Y67-Y66</f>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9" t="s">
        <v>93</v>
      </c>
      <c r="E105" s="41">
        <f t="shared" si="28"/>
        <v>0</v>
      </c>
      <c r="F105" s="41">
        <f t="shared" si="28"/>
        <v>0</v>
      </c>
      <c r="G105" s="41">
        <f t="shared" si="28"/>
        <v>0</v>
      </c>
      <c r="H105" s="41">
        <f t="shared" si="28"/>
        <v>0</v>
      </c>
      <c r="I105" s="41">
        <f t="shared" si="28"/>
        <v>0</v>
      </c>
      <c r="J105" s="41">
        <f t="shared" si="28"/>
        <v>0</v>
      </c>
      <c r="K105" s="41">
        <f t="shared" si="28"/>
        <v>0</v>
      </c>
      <c r="L105" s="41">
        <f t="shared" si="28"/>
        <v>0</v>
      </c>
      <c r="M105" s="41">
        <f t="shared" si="28"/>
        <v>0</v>
      </c>
      <c r="N105" s="41">
        <f t="shared" si="28"/>
        <v>0</v>
      </c>
      <c r="O105" s="41">
        <f t="shared" si="28"/>
        <v>0</v>
      </c>
      <c r="P105" s="41">
        <f t="shared" si="28"/>
        <v>0</v>
      </c>
      <c r="Q105" s="41">
        <f t="shared" si="28"/>
        <v>0</v>
      </c>
      <c r="R105" s="41">
        <f t="shared" si="28"/>
        <v>0</v>
      </c>
      <c r="S105" s="41">
        <f t="shared" si="28"/>
        <v>0</v>
      </c>
      <c r="T105" s="41">
        <f t="shared" si="28"/>
        <v>0</v>
      </c>
      <c r="U105" s="41">
        <f t="shared" si="28"/>
        <v>0</v>
      </c>
      <c r="V105" s="41">
        <f t="shared" si="28"/>
        <v>0</v>
      </c>
      <c r="W105" s="41">
        <f t="shared" si="28"/>
        <v>0</v>
      </c>
      <c r="X105" s="41">
        <f t="shared" si="28"/>
        <v>0</v>
      </c>
      <c r="Y105" s="41">
        <f t="shared" ref="Y105" si="36">Y68-Y67</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9" t="s">
        <v>96</v>
      </c>
      <c r="E106" s="41">
        <f t="shared" si="28"/>
        <v>0</v>
      </c>
      <c r="F106" s="41">
        <f t="shared" si="28"/>
        <v>0</v>
      </c>
      <c r="G106" s="41">
        <f t="shared" si="28"/>
        <v>0</v>
      </c>
      <c r="H106" s="41">
        <f t="shared" si="28"/>
        <v>0</v>
      </c>
      <c r="I106" s="41">
        <f t="shared" si="28"/>
        <v>0</v>
      </c>
      <c r="J106" s="41">
        <f t="shared" si="28"/>
        <v>0</v>
      </c>
      <c r="K106" s="41">
        <f t="shared" si="28"/>
        <v>0</v>
      </c>
      <c r="L106" s="41">
        <f t="shared" si="28"/>
        <v>0</v>
      </c>
      <c r="M106" s="41">
        <f t="shared" si="28"/>
        <v>0</v>
      </c>
      <c r="N106" s="41">
        <f t="shared" si="28"/>
        <v>0</v>
      </c>
      <c r="O106" s="41">
        <f t="shared" si="28"/>
        <v>0</v>
      </c>
      <c r="P106" s="41">
        <f t="shared" si="28"/>
        <v>0</v>
      </c>
      <c r="Q106" s="41">
        <f t="shared" si="28"/>
        <v>0</v>
      </c>
      <c r="R106" s="41">
        <f t="shared" si="28"/>
        <v>0</v>
      </c>
      <c r="S106" s="41">
        <f t="shared" si="28"/>
        <v>0</v>
      </c>
      <c r="T106" s="41">
        <f t="shared" si="28"/>
        <v>0</v>
      </c>
      <c r="U106" s="41">
        <f t="shared" si="28"/>
        <v>0</v>
      </c>
      <c r="V106" s="41">
        <f t="shared" si="28"/>
        <v>0</v>
      </c>
      <c r="W106" s="41">
        <f t="shared" si="28"/>
        <v>0</v>
      </c>
      <c r="X106" s="41">
        <f t="shared" si="28"/>
        <v>0</v>
      </c>
      <c r="Y106" s="41">
        <f t="shared" ref="Y106" si="37">Y69-Y68</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9" t="s">
        <v>99</v>
      </c>
      <c r="E107" s="41">
        <f t="shared" si="28"/>
        <v>0</v>
      </c>
      <c r="F107" s="41">
        <f t="shared" si="28"/>
        <v>0</v>
      </c>
      <c r="G107" s="41">
        <f t="shared" si="28"/>
        <v>0</v>
      </c>
      <c r="H107" s="41">
        <f t="shared" si="28"/>
        <v>0</v>
      </c>
      <c r="I107" s="41">
        <f t="shared" si="28"/>
        <v>0</v>
      </c>
      <c r="J107" s="41">
        <f t="shared" si="28"/>
        <v>0</v>
      </c>
      <c r="K107" s="41">
        <f t="shared" si="28"/>
        <v>0</v>
      </c>
      <c r="L107" s="41">
        <f t="shared" si="28"/>
        <v>0</v>
      </c>
      <c r="M107" s="41">
        <f t="shared" si="28"/>
        <v>0</v>
      </c>
      <c r="N107" s="41">
        <f t="shared" si="28"/>
        <v>0</v>
      </c>
      <c r="O107" s="41">
        <f t="shared" si="28"/>
        <v>0</v>
      </c>
      <c r="P107" s="41">
        <f t="shared" si="28"/>
        <v>0</v>
      </c>
      <c r="Q107" s="41">
        <f t="shared" si="28"/>
        <v>0</v>
      </c>
      <c r="R107" s="41">
        <f t="shared" si="28"/>
        <v>0</v>
      </c>
      <c r="S107" s="41">
        <f t="shared" si="28"/>
        <v>0</v>
      </c>
      <c r="T107" s="41">
        <f t="shared" si="28"/>
        <v>0</v>
      </c>
      <c r="U107" s="41">
        <f t="shared" si="28"/>
        <v>0</v>
      </c>
      <c r="V107" s="41">
        <f t="shared" si="28"/>
        <v>0</v>
      </c>
      <c r="W107" s="41">
        <f t="shared" si="28"/>
        <v>0</v>
      </c>
      <c r="X107" s="41">
        <f t="shared" si="28"/>
        <v>0</v>
      </c>
      <c r="Y107" s="41">
        <f t="shared" ref="Y107" si="38">Y70-Y69</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9" t="s">
        <v>102</v>
      </c>
      <c r="E108" s="41">
        <f t="shared" si="28"/>
        <v>0</v>
      </c>
      <c r="F108" s="41">
        <f t="shared" si="28"/>
        <v>0</v>
      </c>
      <c r="G108" s="41">
        <f t="shared" si="28"/>
        <v>0</v>
      </c>
      <c r="H108" s="41">
        <f t="shared" si="28"/>
        <v>0</v>
      </c>
      <c r="I108" s="41">
        <f t="shared" si="28"/>
        <v>0</v>
      </c>
      <c r="J108" s="41">
        <f t="shared" si="28"/>
        <v>0</v>
      </c>
      <c r="K108" s="41">
        <f t="shared" si="28"/>
        <v>0</v>
      </c>
      <c r="L108" s="41">
        <f t="shared" si="28"/>
        <v>0</v>
      </c>
      <c r="M108" s="41">
        <f t="shared" si="28"/>
        <v>0</v>
      </c>
      <c r="N108" s="41">
        <f t="shared" si="28"/>
        <v>0</v>
      </c>
      <c r="O108" s="41">
        <f t="shared" si="28"/>
        <v>0</v>
      </c>
      <c r="P108" s="41">
        <f t="shared" si="28"/>
        <v>0</v>
      </c>
      <c r="Q108" s="41">
        <f t="shared" si="28"/>
        <v>0</v>
      </c>
      <c r="R108" s="41">
        <f t="shared" si="28"/>
        <v>0</v>
      </c>
      <c r="S108" s="41">
        <f t="shared" si="28"/>
        <v>0</v>
      </c>
      <c r="T108" s="41">
        <f t="shared" si="28"/>
        <v>0</v>
      </c>
      <c r="U108" s="41">
        <f t="shared" si="28"/>
        <v>0</v>
      </c>
      <c r="V108" s="41">
        <f t="shared" si="28"/>
        <v>0</v>
      </c>
      <c r="W108" s="41">
        <f t="shared" si="28"/>
        <v>0</v>
      </c>
      <c r="X108" s="41">
        <f t="shared" si="28"/>
        <v>0</v>
      </c>
      <c r="Y108" s="41">
        <f t="shared" ref="Y108" si="39">Y71-Y70</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9" t="s">
        <v>105</v>
      </c>
      <c r="E109" s="41">
        <f t="shared" si="28"/>
        <v>0</v>
      </c>
      <c r="F109" s="41">
        <f t="shared" si="28"/>
        <v>0</v>
      </c>
      <c r="G109" s="41">
        <f t="shared" si="28"/>
        <v>0</v>
      </c>
      <c r="H109" s="41">
        <f t="shared" si="28"/>
        <v>0</v>
      </c>
      <c r="I109" s="41">
        <f t="shared" si="28"/>
        <v>0</v>
      </c>
      <c r="J109" s="41">
        <f t="shared" si="28"/>
        <v>0</v>
      </c>
      <c r="K109" s="41">
        <f t="shared" si="28"/>
        <v>0</v>
      </c>
      <c r="L109" s="41">
        <f t="shared" si="28"/>
        <v>0</v>
      </c>
      <c r="M109" s="41">
        <f t="shared" si="28"/>
        <v>0</v>
      </c>
      <c r="N109" s="41">
        <f t="shared" si="28"/>
        <v>0</v>
      </c>
      <c r="O109" s="41">
        <f t="shared" si="28"/>
        <v>0</v>
      </c>
      <c r="P109" s="41">
        <f t="shared" si="28"/>
        <v>0</v>
      </c>
      <c r="Q109" s="41">
        <f t="shared" si="28"/>
        <v>0</v>
      </c>
      <c r="R109" s="41">
        <f t="shared" si="28"/>
        <v>0</v>
      </c>
      <c r="S109" s="41">
        <f t="shared" si="28"/>
        <v>0</v>
      </c>
      <c r="T109" s="41">
        <f t="shared" si="28"/>
        <v>0</v>
      </c>
      <c r="U109" s="41">
        <f t="shared" si="28"/>
        <v>0</v>
      </c>
      <c r="V109" s="41">
        <f t="shared" si="28"/>
        <v>0</v>
      </c>
      <c r="W109" s="41">
        <f t="shared" si="28"/>
        <v>0</v>
      </c>
      <c r="X109" s="41">
        <f t="shared" si="28"/>
        <v>0</v>
      </c>
      <c r="Y109" s="41">
        <f t="shared" ref="Y109" si="40">Y72-Y71</f>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9" t="s">
        <v>108</v>
      </c>
      <c r="E110" s="41">
        <f t="shared" si="28"/>
        <v>0</v>
      </c>
      <c r="F110" s="41">
        <f t="shared" si="28"/>
        <v>0</v>
      </c>
      <c r="G110" s="41">
        <f t="shared" si="28"/>
        <v>0</v>
      </c>
      <c r="H110" s="41">
        <f t="shared" ref="H110:X110" si="41">H73-H72</f>
        <v>0</v>
      </c>
      <c r="I110" s="41">
        <f t="shared" si="41"/>
        <v>0</v>
      </c>
      <c r="J110" s="41">
        <f t="shared" si="41"/>
        <v>0</v>
      </c>
      <c r="K110" s="41">
        <f t="shared" si="41"/>
        <v>0</v>
      </c>
      <c r="L110" s="41">
        <f t="shared" si="41"/>
        <v>0</v>
      </c>
      <c r="M110" s="41">
        <f t="shared" si="41"/>
        <v>0</v>
      </c>
      <c r="N110" s="41">
        <f t="shared" si="41"/>
        <v>0</v>
      </c>
      <c r="O110" s="41">
        <f t="shared" si="41"/>
        <v>0</v>
      </c>
      <c r="P110" s="41">
        <f t="shared" si="41"/>
        <v>0</v>
      </c>
      <c r="Q110" s="41">
        <f t="shared" si="41"/>
        <v>0</v>
      </c>
      <c r="R110" s="41">
        <f t="shared" si="41"/>
        <v>0</v>
      </c>
      <c r="S110" s="41">
        <f t="shared" si="41"/>
        <v>0</v>
      </c>
      <c r="T110" s="41">
        <f t="shared" si="41"/>
        <v>0</v>
      </c>
      <c r="U110" s="41">
        <f t="shared" si="41"/>
        <v>0</v>
      </c>
      <c r="V110" s="41">
        <f t="shared" si="41"/>
        <v>0</v>
      </c>
      <c r="W110" s="41">
        <f t="shared" si="41"/>
        <v>0</v>
      </c>
      <c r="X110" s="41">
        <f t="shared" si="41"/>
        <v>0</v>
      </c>
      <c r="Y110" s="41">
        <f t="shared" ref="Y110" si="42">Y73-Y72</f>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9" t="s">
        <v>111</v>
      </c>
      <c r="E111" s="41">
        <f t="shared" ref="E111:X111" si="43">E74-E73</f>
        <v>0</v>
      </c>
      <c r="F111" s="41">
        <f t="shared" si="43"/>
        <v>0</v>
      </c>
      <c r="G111" s="41">
        <f t="shared" si="43"/>
        <v>0</v>
      </c>
      <c r="H111" s="41">
        <f t="shared" si="43"/>
        <v>0</v>
      </c>
      <c r="I111" s="41">
        <f t="shared" si="43"/>
        <v>0</v>
      </c>
      <c r="J111" s="41">
        <f t="shared" si="43"/>
        <v>0</v>
      </c>
      <c r="K111" s="41">
        <f t="shared" si="43"/>
        <v>0</v>
      </c>
      <c r="L111" s="41">
        <f t="shared" si="43"/>
        <v>0</v>
      </c>
      <c r="M111" s="41">
        <f t="shared" si="43"/>
        <v>0</v>
      </c>
      <c r="N111" s="41">
        <f t="shared" si="43"/>
        <v>0</v>
      </c>
      <c r="O111" s="41">
        <f t="shared" si="43"/>
        <v>0</v>
      </c>
      <c r="P111" s="41">
        <f t="shared" si="43"/>
        <v>0</v>
      </c>
      <c r="Q111" s="41">
        <f t="shared" si="43"/>
        <v>0</v>
      </c>
      <c r="R111" s="41">
        <f t="shared" si="43"/>
        <v>0</v>
      </c>
      <c r="S111" s="41">
        <f t="shared" si="43"/>
        <v>0</v>
      </c>
      <c r="T111" s="41">
        <f t="shared" si="43"/>
        <v>0</v>
      </c>
      <c r="U111" s="41">
        <f t="shared" si="43"/>
        <v>0</v>
      </c>
      <c r="V111" s="41">
        <f t="shared" si="43"/>
        <v>0</v>
      </c>
      <c r="W111" s="41">
        <f t="shared" si="43"/>
        <v>0</v>
      </c>
      <c r="X111" s="41">
        <f t="shared" si="43"/>
        <v>0</v>
      </c>
      <c r="Y111" s="41">
        <f t="shared" ref="Y111" si="44">Y74-Y73</f>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9" t="s">
        <v>114</v>
      </c>
      <c r="E112" s="41">
        <f t="shared" ref="E112:X112" si="45">E75-E74</f>
        <v>0</v>
      </c>
      <c r="F112" s="41">
        <f t="shared" si="45"/>
        <v>0</v>
      </c>
      <c r="G112" s="41">
        <f t="shared" si="45"/>
        <v>0</v>
      </c>
      <c r="H112" s="41">
        <f t="shared" si="45"/>
        <v>0</v>
      </c>
      <c r="I112" s="41">
        <f t="shared" si="45"/>
        <v>0</v>
      </c>
      <c r="J112" s="41">
        <f t="shared" si="45"/>
        <v>0</v>
      </c>
      <c r="K112" s="41">
        <f t="shared" si="45"/>
        <v>0</v>
      </c>
      <c r="L112" s="41">
        <f t="shared" si="45"/>
        <v>0</v>
      </c>
      <c r="M112" s="41">
        <f t="shared" si="45"/>
        <v>0</v>
      </c>
      <c r="N112" s="41">
        <f t="shared" si="45"/>
        <v>0</v>
      </c>
      <c r="O112" s="41">
        <f t="shared" si="45"/>
        <v>0</v>
      </c>
      <c r="P112" s="41">
        <f t="shared" si="45"/>
        <v>0</v>
      </c>
      <c r="Q112" s="41">
        <f t="shared" si="45"/>
        <v>0</v>
      </c>
      <c r="R112" s="41">
        <f t="shared" si="45"/>
        <v>0</v>
      </c>
      <c r="S112" s="41">
        <f t="shared" si="45"/>
        <v>0</v>
      </c>
      <c r="T112" s="41">
        <f t="shared" si="45"/>
        <v>0</v>
      </c>
      <c r="U112" s="41">
        <f t="shared" si="45"/>
        <v>0</v>
      </c>
      <c r="V112" s="41">
        <f t="shared" si="45"/>
        <v>0</v>
      </c>
      <c r="W112" s="41">
        <f t="shared" si="45"/>
        <v>0</v>
      </c>
      <c r="X112" s="41">
        <f t="shared" si="45"/>
        <v>0</v>
      </c>
      <c r="Y112" s="41">
        <f t="shared" ref="Y112" si="46">Y75-Y74</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117</v>
      </c>
      <c r="E113" s="41">
        <f t="shared" ref="E113:X113" si="47">E76-E75</f>
        <v>0</v>
      </c>
      <c r="F113" s="41">
        <f t="shared" si="47"/>
        <v>0</v>
      </c>
      <c r="G113" s="41">
        <f t="shared" si="47"/>
        <v>0</v>
      </c>
      <c r="H113" s="41">
        <f t="shared" si="47"/>
        <v>0</v>
      </c>
      <c r="I113" s="41">
        <f t="shared" si="47"/>
        <v>0</v>
      </c>
      <c r="J113" s="41">
        <f t="shared" si="47"/>
        <v>0</v>
      </c>
      <c r="K113" s="41">
        <f t="shared" si="47"/>
        <v>0</v>
      </c>
      <c r="L113" s="41">
        <f t="shared" si="47"/>
        <v>0</v>
      </c>
      <c r="M113" s="41">
        <f t="shared" si="47"/>
        <v>0</v>
      </c>
      <c r="N113" s="41">
        <f t="shared" si="47"/>
        <v>0</v>
      </c>
      <c r="O113" s="41">
        <f t="shared" si="47"/>
        <v>0</v>
      </c>
      <c r="P113" s="41">
        <f t="shared" si="47"/>
        <v>0</v>
      </c>
      <c r="Q113" s="41">
        <f t="shared" si="47"/>
        <v>0</v>
      </c>
      <c r="R113" s="41">
        <f t="shared" si="47"/>
        <v>0</v>
      </c>
      <c r="S113" s="41">
        <f t="shared" si="47"/>
        <v>0</v>
      </c>
      <c r="T113" s="41">
        <f t="shared" si="47"/>
        <v>0</v>
      </c>
      <c r="U113" s="41">
        <f t="shared" si="47"/>
        <v>0</v>
      </c>
      <c r="V113" s="41">
        <f t="shared" si="47"/>
        <v>0</v>
      </c>
      <c r="W113" s="41">
        <f t="shared" si="47"/>
        <v>0</v>
      </c>
      <c r="X113" s="41">
        <f t="shared" si="47"/>
        <v>0</v>
      </c>
      <c r="Y113" s="41">
        <f t="shared" ref="Y113" si="48">Y76-Y75</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120</v>
      </c>
      <c r="E114" s="41">
        <f t="shared" ref="E114:X114" si="49">E77-E76</f>
        <v>0</v>
      </c>
      <c r="F114" s="41">
        <f t="shared" si="49"/>
        <v>0</v>
      </c>
      <c r="G114" s="41">
        <f t="shared" si="49"/>
        <v>0</v>
      </c>
      <c r="H114" s="41">
        <f t="shared" si="49"/>
        <v>0</v>
      </c>
      <c r="I114" s="41">
        <f t="shared" si="49"/>
        <v>0</v>
      </c>
      <c r="J114" s="41">
        <f t="shared" si="49"/>
        <v>0</v>
      </c>
      <c r="K114" s="41">
        <f t="shared" si="49"/>
        <v>0</v>
      </c>
      <c r="L114" s="41">
        <f t="shared" si="49"/>
        <v>0</v>
      </c>
      <c r="M114" s="41">
        <f t="shared" si="49"/>
        <v>0</v>
      </c>
      <c r="N114" s="41">
        <f t="shared" si="49"/>
        <v>0</v>
      </c>
      <c r="O114" s="41">
        <f t="shared" si="49"/>
        <v>0</v>
      </c>
      <c r="P114" s="41">
        <f t="shared" si="49"/>
        <v>0</v>
      </c>
      <c r="Q114" s="41">
        <f t="shared" si="49"/>
        <v>0</v>
      </c>
      <c r="R114" s="41">
        <f t="shared" si="49"/>
        <v>0</v>
      </c>
      <c r="S114" s="41">
        <f t="shared" si="49"/>
        <v>0</v>
      </c>
      <c r="T114" s="41">
        <f t="shared" si="49"/>
        <v>0</v>
      </c>
      <c r="U114" s="41">
        <f t="shared" si="49"/>
        <v>0</v>
      </c>
      <c r="V114" s="41">
        <f t="shared" si="49"/>
        <v>0</v>
      </c>
      <c r="W114" s="41">
        <f t="shared" si="49"/>
        <v>0</v>
      </c>
      <c r="X114" s="41">
        <f t="shared" si="49"/>
        <v>0</v>
      </c>
      <c r="Y114" s="41">
        <f t="shared" ref="Y114" si="50">Y77-Y76</f>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123</v>
      </c>
      <c r="E115" s="41">
        <f t="shared" ref="E115:X115" si="51">E78-E77</f>
        <v>0</v>
      </c>
      <c r="F115" s="41">
        <f t="shared" si="51"/>
        <v>0</v>
      </c>
      <c r="G115" s="41">
        <f t="shared" si="51"/>
        <v>0</v>
      </c>
      <c r="H115" s="41">
        <f t="shared" si="51"/>
        <v>0</v>
      </c>
      <c r="I115" s="41">
        <f t="shared" si="51"/>
        <v>0</v>
      </c>
      <c r="J115" s="41">
        <f t="shared" si="51"/>
        <v>0</v>
      </c>
      <c r="K115" s="41">
        <f t="shared" si="51"/>
        <v>0</v>
      </c>
      <c r="L115" s="41">
        <f t="shared" si="51"/>
        <v>0</v>
      </c>
      <c r="M115" s="41">
        <f t="shared" si="51"/>
        <v>0</v>
      </c>
      <c r="N115" s="41">
        <f t="shared" si="51"/>
        <v>0</v>
      </c>
      <c r="O115" s="41">
        <f t="shared" si="51"/>
        <v>0</v>
      </c>
      <c r="P115" s="41">
        <f t="shared" si="51"/>
        <v>0</v>
      </c>
      <c r="Q115" s="41">
        <f t="shared" si="51"/>
        <v>0</v>
      </c>
      <c r="R115" s="41">
        <f t="shared" si="51"/>
        <v>0</v>
      </c>
      <c r="S115" s="41">
        <f t="shared" si="51"/>
        <v>0</v>
      </c>
      <c r="T115" s="41">
        <f t="shared" si="51"/>
        <v>0</v>
      </c>
      <c r="U115" s="41">
        <f t="shared" si="51"/>
        <v>0</v>
      </c>
      <c r="V115" s="41">
        <f t="shared" si="51"/>
        <v>0</v>
      </c>
      <c r="W115" s="41">
        <f t="shared" si="51"/>
        <v>0</v>
      </c>
      <c r="X115" s="41">
        <f t="shared" si="51"/>
        <v>0</v>
      </c>
      <c r="Y115" s="41">
        <f t="shared" ref="Y115" si="52">Y78-Y77</f>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126</v>
      </c>
      <c r="E116" s="41">
        <f t="shared" ref="E116:X116" si="53">E79-E78</f>
        <v>0</v>
      </c>
      <c r="F116" s="41">
        <f t="shared" si="53"/>
        <v>0</v>
      </c>
      <c r="G116" s="41">
        <f t="shared" si="53"/>
        <v>0</v>
      </c>
      <c r="H116" s="41">
        <f t="shared" si="53"/>
        <v>0</v>
      </c>
      <c r="I116" s="41">
        <f t="shared" si="53"/>
        <v>0</v>
      </c>
      <c r="J116" s="41">
        <f t="shared" si="53"/>
        <v>0</v>
      </c>
      <c r="K116" s="41">
        <f t="shared" si="53"/>
        <v>0</v>
      </c>
      <c r="L116" s="41">
        <f t="shared" si="53"/>
        <v>0</v>
      </c>
      <c r="M116" s="41">
        <f t="shared" si="53"/>
        <v>0</v>
      </c>
      <c r="N116" s="41">
        <f t="shared" si="53"/>
        <v>0</v>
      </c>
      <c r="O116" s="41">
        <f t="shared" si="53"/>
        <v>0</v>
      </c>
      <c r="P116" s="41">
        <f t="shared" si="53"/>
        <v>0</v>
      </c>
      <c r="Q116" s="41">
        <f t="shared" si="53"/>
        <v>0</v>
      </c>
      <c r="R116" s="41">
        <f t="shared" si="53"/>
        <v>0</v>
      </c>
      <c r="S116" s="41">
        <f t="shared" si="53"/>
        <v>0</v>
      </c>
      <c r="T116" s="41">
        <f t="shared" si="53"/>
        <v>0</v>
      </c>
      <c r="U116" s="41">
        <f t="shared" si="53"/>
        <v>0</v>
      </c>
      <c r="V116" s="41">
        <f t="shared" si="53"/>
        <v>0</v>
      </c>
      <c r="W116" s="41">
        <f t="shared" si="53"/>
        <v>0</v>
      </c>
      <c r="X116" s="41">
        <f t="shared" si="53"/>
        <v>0</v>
      </c>
      <c r="Y116" s="41">
        <f t="shared" ref="Y116" si="54">Y79-Y78</f>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129</v>
      </c>
      <c r="E117" s="41">
        <f t="shared" ref="E117:X117" si="55">E80-E79</f>
        <v>0</v>
      </c>
      <c r="F117" s="41">
        <f t="shared" si="55"/>
        <v>0</v>
      </c>
      <c r="G117" s="41">
        <f t="shared" si="55"/>
        <v>0</v>
      </c>
      <c r="H117" s="41">
        <f t="shared" si="55"/>
        <v>0</v>
      </c>
      <c r="I117" s="41">
        <f t="shared" si="55"/>
        <v>0</v>
      </c>
      <c r="J117" s="41">
        <f t="shared" si="55"/>
        <v>0</v>
      </c>
      <c r="K117" s="41">
        <f t="shared" si="55"/>
        <v>0</v>
      </c>
      <c r="L117" s="41">
        <f t="shared" si="55"/>
        <v>0</v>
      </c>
      <c r="M117" s="41">
        <f t="shared" si="55"/>
        <v>0</v>
      </c>
      <c r="N117" s="41">
        <f t="shared" si="55"/>
        <v>0</v>
      </c>
      <c r="O117" s="41">
        <f t="shared" si="55"/>
        <v>0</v>
      </c>
      <c r="P117" s="41">
        <f t="shared" si="55"/>
        <v>0</v>
      </c>
      <c r="Q117" s="41">
        <f t="shared" si="55"/>
        <v>0</v>
      </c>
      <c r="R117" s="41">
        <f t="shared" si="55"/>
        <v>0</v>
      </c>
      <c r="S117" s="41">
        <f t="shared" si="55"/>
        <v>0</v>
      </c>
      <c r="T117" s="41">
        <f t="shared" si="55"/>
        <v>0</v>
      </c>
      <c r="U117" s="41">
        <f t="shared" si="55"/>
        <v>0</v>
      </c>
      <c r="V117" s="41">
        <f t="shared" si="55"/>
        <v>0</v>
      </c>
      <c r="W117" s="41">
        <f t="shared" si="55"/>
        <v>0</v>
      </c>
      <c r="X117" s="41">
        <f t="shared" si="55"/>
        <v>0</v>
      </c>
      <c r="Y117" s="41">
        <f t="shared" ref="Y117" si="56">Y80-Y79</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183</v>
      </c>
      <c r="E118" s="41">
        <f t="shared" ref="E118:X118" si="57">E81-E80</f>
        <v>0</v>
      </c>
      <c r="F118" s="41">
        <f t="shared" si="57"/>
        <v>0</v>
      </c>
      <c r="G118" s="41">
        <f t="shared" si="57"/>
        <v>0</v>
      </c>
      <c r="H118" s="41">
        <f t="shared" si="57"/>
        <v>0</v>
      </c>
      <c r="I118" s="41">
        <f t="shared" si="57"/>
        <v>0</v>
      </c>
      <c r="J118" s="41">
        <f t="shared" si="57"/>
        <v>0</v>
      </c>
      <c r="K118" s="41">
        <f t="shared" si="57"/>
        <v>0</v>
      </c>
      <c r="L118" s="41">
        <f t="shared" si="57"/>
        <v>0</v>
      </c>
      <c r="M118" s="41">
        <f t="shared" si="57"/>
        <v>0</v>
      </c>
      <c r="N118" s="41">
        <f t="shared" si="57"/>
        <v>0</v>
      </c>
      <c r="O118" s="41">
        <f t="shared" si="57"/>
        <v>0</v>
      </c>
      <c r="P118" s="41">
        <f t="shared" si="57"/>
        <v>0</v>
      </c>
      <c r="Q118" s="41">
        <f t="shared" si="57"/>
        <v>0</v>
      </c>
      <c r="R118" s="41">
        <f t="shared" si="57"/>
        <v>0</v>
      </c>
      <c r="S118" s="41">
        <f t="shared" si="57"/>
        <v>0</v>
      </c>
      <c r="T118" s="41">
        <f t="shared" si="57"/>
        <v>0</v>
      </c>
      <c r="U118" s="41">
        <f t="shared" si="57"/>
        <v>0</v>
      </c>
      <c r="V118" s="41">
        <f t="shared" si="57"/>
        <v>0</v>
      </c>
      <c r="W118" s="41">
        <f t="shared" si="57"/>
        <v>0</v>
      </c>
      <c r="X118" s="41">
        <f t="shared" si="57"/>
        <v>0</v>
      </c>
      <c r="Y118" s="41">
        <f t="shared" ref="Y118" si="58">Y81-Y80</f>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185</v>
      </c>
      <c r="E119" s="41">
        <f t="shared" ref="E119:X119" si="59">E82-E81</f>
        <v>0</v>
      </c>
      <c r="F119" s="41">
        <f t="shared" si="59"/>
        <v>0</v>
      </c>
      <c r="G119" s="41">
        <f t="shared" si="59"/>
        <v>0</v>
      </c>
      <c r="H119" s="41">
        <f t="shared" si="59"/>
        <v>0</v>
      </c>
      <c r="I119" s="41">
        <f t="shared" si="59"/>
        <v>0</v>
      </c>
      <c r="J119" s="41">
        <f t="shared" si="59"/>
        <v>0</v>
      </c>
      <c r="K119" s="41">
        <f t="shared" si="59"/>
        <v>0</v>
      </c>
      <c r="L119" s="41">
        <f t="shared" si="59"/>
        <v>0</v>
      </c>
      <c r="M119" s="41">
        <f t="shared" si="59"/>
        <v>0</v>
      </c>
      <c r="N119" s="41">
        <f t="shared" si="59"/>
        <v>0</v>
      </c>
      <c r="O119" s="41">
        <f t="shared" si="59"/>
        <v>0</v>
      </c>
      <c r="P119" s="41">
        <f t="shared" si="59"/>
        <v>0</v>
      </c>
      <c r="Q119" s="41">
        <f t="shared" si="59"/>
        <v>0</v>
      </c>
      <c r="R119" s="41">
        <f t="shared" si="59"/>
        <v>0</v>
      </c>
      <c r="S119" s="41">
        <f t="shared" si="59"/>
        <v>0</v>
      </c>
      <c r="T119" s="41">
        <f t="shared" si="59"/>
        <v>0</v>
      </c>
      <c r="U119" s="41">
        <f t="shared" si="59"/>
        <v>0</v>
      </c>
      <c r="V119" s="41">
        <f t="shared" si="59"/>
        <v>0</v>
      </c>
      <c r="W119" s="41">
        <f t="shared" si="59"/>
        <v>0</v>
      </c>
      <c r="X119" s="41">
        <f t="shared" si="59"/>
        <v>0</v>
      </c>
      <c r="Y119" s="41">
        <f t="shared" ref="Y119" si="60">Y82-Y81</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188</v>
      </c>
      <c r="E120" s="41">
        <f t="shared" ref="E120:X120" si="61">E83-E82</f>
        <v>0</v>
      </c>
      <c r="F120" s="41">
        <f t="shared" si="61"/>
        <v>0</v>
      </c>
      <c r="G120" s="41">
        <f t="shared" si="61"/>
        <v>0</v>
      </c>
      <c r="H120" s="41">
        <f t="shared" si="61"/>
        <v>0</v>
      </c>
      <c r="I120" s="41">
        <f t="shared" si="61"/>
        <v>0</v>
      </c>
      <c r="J120" s="41">
        <f t="shared" si="61"/>
        <v>0</v>
      </c>
      <c r="K120" s="41">
        <f t="shared" si="61"/>
        <v>0</v>
      </c>
      <c r="L120" s="41">
        <f t="shared" si="61"/>
        <v>0</v>
      </c>
      <c r="M120" s="41">
        <f t="shared" si="61"/>
        <v>0</v>
      </c>
      <c r="N120" s="41">
        <f t="shared" si="61"/>
        <v>0</v>
      </c>
      <c r="O120" s="41">
        <f t="shared" si="61"/>
        <v>0</v>
      </c>
      <c r="P120" s="41">
        <f t="shared" si="61"/>
        <v>0</v>
      </c>
      <c r="Q120" s="41">
        <f t="shared" si="61"/>
        <v>0</v>
      </c>
      <c r="R120" s="41">
        <f t="shared" si="61"/>
        <v>0</v>
      </c>
      <c r="S120" s="41">
        <f t="shared" si="61"/>
        <v>0</v>
      </c>
      <c r="T120" s="41">
        <f t="shared" si="61"/>
        <v>0</v>
      </c>
      <c r="U120" s="41">
        <f t="shared" si="61"/>
        <v>0</v>
      </c>
      <c r="V120" s="41">
        <f t="shared" si="61"/>
        <v>0</v>
      </c>
      <c r="W120" s="41">
        <f t="shared" si="61"/>
        <v>0</v>
      </c>
      <c r="X120" s="41">
        <f t="shared" si="61"/>
        <v>0</v>
      </c>
      <c r="Y120" s="41">
        <f t="shared" ref="Y120" si="62">Y83-Y82</f>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191</v>
      </c>
      <c r="E121" s="41">
        <f t="shared" ref="E121:X121" si="63">E84-E83</f>
        <v>0</v>
      </c>
      <c r="F121" s="41">
        <f t="shared" si="63"/>
        <v>0</v>
      </c>
      <c r="G121" s="41">
        <f t="shared" si="63"/>
        <v>0</v>
      </c>
      <c r="H121" s="41">
        <f t="shared" si="63"/>
        <v>0</v>
      </c>
      <c r="I121" s="41">
        <f t="shared" si="63"/>
        <v>0</v>
      </c>
      <c r="J121" s="41">
        <f t="shared" si="63"/>
        <v>0</v>
      </c>
      <c r="K121" s="41">
        <f t="shared" si="63"/>
        <v>0</v>
      </c>
      <c r="L121" s="41">
        <f t="shared" si="63"/>
        <v>0</v>
      </c>
      <c r="M121" s="41">
        <f t="shared" si="63"/>
        <v>0</v>
      </c>
      <c r="N121" s="41">
        <f t="shared" si="63"/>
        <v>0</v>
      </c>
      <c r="O121" s="41">
        <f t="shared" si="63"/>
        <v>0</v>
      </c>
      <c r="P121" s="41">
        <f t="shared" si="63"/>
        <v>0</v>
      </c>
      <c r="Q121" s="41">
        <f t="shared" si="63"/>
        <v>0</v>
      </c>
      <c r="R121" s="41">
        <f t="shared" si="63"/>
        <v>0</v>
      </c>
      <c r="S121" s="41">
        <f t="shared" si="63"/>
        <v>0</v>
      </c>
      <c r="T121" s="41">
        <f t="shared" si="63"/>
        <v>0</v>
      </c>
      <c r="U121" s="41">
        <f t="shared" si="63"/>
        <v>0</v>
      </c>
      <c r="V121" s="41">
        <f t="shared" si="63"/>
        <v>0</v>
      </c>
      <c r="W121" s="41">
        <f t="shared" si="63"/>
        <v>0</v>
      </c>
      <c r="X121" s="41">
        <f t="shared" si="63"/>
        <v>0</v>
      </c>
      <c r="Y121" s="41">
        <f t="shared" ref="Y121" si="64">Y84-Y83</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194</v>
      </c>
      <c r="E122" s="41">
        <f t="shared" ref="E122:X122" si="65">E85-E84</f>
        <v>0</v>
      </c>
      <c r="F122" s="41">
        <f t="shared" si="65"/>
        <v>0</v>
      </c>
      <c r="G122" s="41">
        <f t="shared" si="65"/>
        <v>0</v>
      </c>
      <c r="H122" s="41">
        <f t="shared" si="65"/>
        <v>0</v>
      </c>
      <c r="I122" s="41">
        <f t="shared" si="65"/>
        <v>0</v>
      </c>
      <c r="J122" s="41">
        <f t="shared" si="65"/>
        <v>0</v>
      </c>
      <c r="K122" s="41">
        <f t="shared" si="65"/>
        <v>0</v>
      </c>
      <c r="L122" s="41">
        <f t="shared" si="65"/>
        <v>0</v>
      </c>
      <c r="M122" s="41">
        <f t="shared" si="65"/>
        <v>0</v>
      </c>
      <c r="N122" s="41">
        <f t="shared" si="65"/>
        <v>0</v>
      </c>
      <c r="O122" s="41">
        <f t="shared" si="65"/>
        <v>0</v>
      </c>
      <c r="P122" s="41">
        <f t="shared" si="65"/>
        <v>0</v>
      </c>
      <c r="Q122" s="41">
        <f t="shared" si="65"/>
        <v>0</v>
      </c>
      <c r="R122" s="41">
        <f t="shared" si="65"/>
        <v>0</v>
      </c>
      <c r="S122" s="41">
        <f t="shared" si="65"/>
        <v>0</v>
      </c>
      <c r="T122" s="41">
        <f t="shared" si="65"/>
        <v>0</v>
      </c>
      <c r="U122" s="41">
        <f t="shared" si="65"/>
        <v>0</v>
      </c>
      <c r="V122" s="41">
        <f t="shared" si="65"/>
        <v>0</v>
      </c>
      <c r="W122" s="41">
        <f t="shared" si="65"/>
        <v>0</v>
      </c>
      <c r="X122" s="41">
        <f t="shared" si="65"/>
        <v>0</v>
      </c>
      <c r="Y122" s="41">
        <f t="shared" ref="Y122" si="66">Y85-Y84</f>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197</v>
      </c>
      <c r="E123" s="41">
        <f t="shared" ref="E123:X123" si="67">E86-E85</f>
        <v>0</v>
      </c>
      <c r="F123" s="41">
        <f t="shared" si="67"/>
        <v>0</v>
      </c>
      <c r="G123" s="41">
        <f t="shared" si="67"/>
        <v>0</v>
      </c>
      <c r="H123" s="41">
        <f t="shared" si="67"/>
        <v>0</v>
      </c>
      <c r="I123" s="41">
        <f t="shared" si="67"/>
        <v>0</v>
      </c>
      <c r="J123" s="41">
        <f t="shared" si="67"/>
        <v>0</v>
      </c>
      <c r="K123" s="41">
        <f t="shared" si="67"/>
        <v>0</v>
      </c>
      <c r="L123" s="41">
        <f t="shared" si="67"/>
        <v>0</v>
      </c>
      <c r="M123" s="41">
        <f t="shared" si="67"/>
        <v>0</v>
      </c>
      <c r="N123" s="41">
        <f t="shared" si="67"/>
        <v>0</v>
      </c>
      <c r="O123" s="41">
        <f t="shared" si="67"/>
        <v>0</v>
      </c>
      <c r="P123" s="41">
        <f t="shared" si="67"/>
        <v>0</v>
      </c>
      <c r="Q123" s="41">
        <f t="shared" si="67"/>
        <v>0</v>
      </c>
      <c r="R123" s="41">
        <f t="shared" si="67"/>
        <v>0</v>
      </c>
      <c r="S123" s="41">
        <f t="shared" si="67"/>
        <v>0</v>
      </c>
      <c r="T123" s="41">
        <f t="shared" si="67"/>
        <v>0</v>
      </c>
      <c r="U123" s="41">
        <f t="shared" si="67"/>
        <v>0</v>
      </c>
      <c r="V123" s="41">
        <f t="shared" si="67"/>
        <v>0</v>
      </c>
      <c r="W123" s="41">
        <f t="shared" si="67"/>
        <v>0</v>
      </c>
      <c r="X123" s="41">
        <f t="shared" si="67"/>
        <v>0</v>
      </c>
      <c r="Y123" s="41">
        <f t="shared" ref="Y123" si="68">Y86-Y85</f>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200</v>
      </c>
      <c r="E124" s="41">
        <f t="shared" ref="E124:X124" si="69">E87-E86</f>
        <v>0</v>
      </c>
      <c r="F124" s="41">
        <f t="shared" si="69"/>
        <v>0</v>
      </c>
      <c r="G124" s="41">
        <f t="shared" si="69"/>
        <v>0</v>
      </c>
      <c r="H124" s="41">
        <f t="shared" si="69"/>
        <v>0</v>
      </c>
      <c r="I124" s="41">
        <f t="shared" si="69"/>
        <v>0</v>
      </c>
      <c r="J124" s="41">
        <f t="shared" si="69"/>
        <v>0</v>
      </c>
      <c r="K124" s="41">
        <f t="shared" si="69"/>
        <v>0</v>
      </c>
      <c r="L124" s="41">
        <f t="shared" si="69"/>
        <v>0</v>
      </c>
      <c r="M124" s="41">
        <f t="shared" si="69"/>
        <v>0</v>
      </c>
      <c r="N124" s="41">
        <f t="shared" si="69"/>
        <v>0</v>
      </c>
      <c r="O124" s="41">
        <f t="shared" si="69"/>
        <v>0</v>
      </c>
      <c r="P124" s="41">
        <f t="shared" si="69"/>
        <v>0</v>
      </c>
      <c r="Q124" s="41">
        <f t="shared" si="69"/>
        <v>0</v>
      </c>
      <c r="R124" s="41">
        <f t="shared" si="69"/>
        <v>0</v>
      </c>
      <c r="S124" s="41">
        <f t="shared" si="69"/>
        <v>0</v>
      </c>
      <c r="T124" s="41">
        <f t="shared" si="69"/>
        <v>0</v>
      </c>
      <c r="U124" s="41">
        <f t="shared" si="69"/>
        <v>0</v>
      </c>
      <c r="V124" s="41">
        <f t="shared" si="69"/>
        <v>0</v>
      </c>
      <c r="W124" s="41">
        <f t="shared" si="69"/>
        <v>0</v>
      </c>
      <c r="X124" s="41">
        <f t="shared" si="69"/>
        <v>0</v>
      </c>
      <c r="Y124" s="41">
        <f t="shared" ref="Y124" si="70">Y87-Y86</f>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9" t="s">
        <v>203</v>
      </c>
      <c r="E125" s="41">
        <f t="shared" ref="E125:X125" si="71">E88-E87</f>
        <v>0</v>
      </c>
      <c r="F125" s="41">
        <f t="shared" si="71"/>
        <v>0</v>
      </c>
      <c r="G125" s="41">
        <f t="shared" si="71"/>
        <v>0</v>
      </c>
      <c r="H125" s="41">
        <f t="shared" si="71"/>
        <v>0</v>
      </c>
      <c r="I125" s="41">
        <f t="shared" si="71"/>
        <v>0</v>
      </c>
      <c r="J125" s="41">
        <f t="shared" si="71"/>
        <v>0</v>
      </c>
      <c r="K125" s="41">
        <f t="shared" si="71"/>
        <v>0</v>
      </c>
      <c r="L125" s="41">
        <f t="shared" si="71"/>
        <v>0</v>
      </c>
      <c r="M125" s="41">
        <f t="shared" si="71"/>
        <v>0</v>
      </c>
      <c r="N125" s="41">
        <f t="shared" si="71"/>
        <v>0</v>
      </c>
      <c r="O125" s="41">
        <f t="shared" si="71"/>
        <v>0</v>
      </c>
      <c r="P125" s="41">
        <f t="shared" si="71"/>
        <v>0</v>
      </c>
      <c r="Q125" s="41">
        <f t="shared" si="71"/>
        <v>0</v>
      </c>
      <c r="R125" s="41">
        <f t="shared" si="71"/>
        <v>0</v>
      </c>
      <c r="S125" s="41">
        <f t="shared" si="71"/>
        <v>0</v>
      </c>
      <c r="T125" s="41">
        <f t="shared" si="71"/>
        <v>0</v>
      </c>
      <c r="U125" s="41">
        <f t="shared" si="71"/>
        <v>0</v>
      </c>
      <c r="V125" s="41">
        <f t="shared" si="71"/>
        <v>0</v>
      </c>
      <c r="W125" s="41">
        <f t="shared" si="71"/>
        <v>0</v>
      </c>
      <c r="X125" s="41">
        <f t="shared" si="71"/>
        <v>0</v>
      </c>
      <c r="Y125" s="41">
        <f t="shared" ref="Y125" si="72">Y88-Y87</f>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9" t="s">
        <v>206</v>
      </c>
      <c r="E126" s="41">
        <f t="shared" ref="E126:X126" si="73">E89-E88</f>
        <v>0</v>
      </c>
      <c r="F126" s="41">
        <f t="shared" si="73"/>
        <v>0</v>
      </c>
      <c r="G126" s="41">
        <f t="shared" si="73"/>
        <v>0</v>
      </c>
      <c r="H126" s="41">
        <f t="shared" si="73"/>
        <v>0</v>
      </c>
      <c r="I126" s="41">
        <f t="shared" si="73"/>
        <v>0</v>
      </c>
      <c r="J126" s="41">
        <f t="shared" si="73"/>
        <v>0</v>
      </c>
      <c r="K126" s="41">
        <f t="shared" si="73"/>
        <v>0</v>
      </c>
      <c r="L126" s="41">
        <f t="shared" si="73"/>
        <v>0</v>
      </c>
      <c r="M126" s="41">
        <f t="shared" si="73"/>
        <v>0</v>
      </c>
      <c r="N126" s="41">
        <f t="shared" si="73"/>
        <v>0</v>
      </c>
      <c r="O126" s="41">
        <f t="shared" si="73"/>
        <v>0</v>
      </c>
      <c r="P126" s="41">
        <f t="shared" si="73"/>
        <v>0</v>
      </c>
      <c r="Q126" s="41">
        <f t="shared" si="73"/>
        <v>0</v>
      </c>
      <c r="R126" s="41">
        <f t="shared" si="73"/>
        <v>0</v>
      </c>
      <c r="S126" s="41">
        <f t="shared" si="73"/>
        <v>0</v>
      </c>
      <c r="T126" s="41">
        <f t="shared" si="73"/>
        <v>0</v>
      </c>
      <c r="U126" s="41">
        <f t="shared" si="73"/>
        <v>0</v>
      </c>
      <c r="V126" s="41">
        <f t="shared" si="73"/>
        <v>0</v>
      </c>
      <c r="W126" s="41">
        <f t="shared" si="73"/>
        <v>0</v>
      </c>
      <c r="X126" s="41">
        <f t="shared" si="73"/>
        <v>0</v>
      </c>
      <c r="Y126" s="41">
        <f t="shared" ref="Y126" si="74">Y89-Y88</f>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9" t="s">
        <v>209</v>
      </c>
      <c r="E127" s="41">
        <f t="shared" ref="E127:X127" si="75">E90-E89</f>
        <v>0</v>
      </c>
      <c r="F127" s="41">
        <f t="shared" si="75"/>
        <v>0</v>
      </c>
      <c r="G127" s="41">
        <f t="shared" si="75"/>
        <v>0</v>
      </c>
      <c r="H127" s="41">
        <f t="shared" si="75"/>
        <v>0</v>
      </c>
      <c r="I127" s="41">
        <f t="shared" si="75"/>
        <v>0</v>
      </c>
      <c r="J127" s="41">
        <f t="shared" si="75"/>
        <v>0</v>
      </c>
      <c r="K127" s="41">
        <f t="shared" si="75"/>
        <v>0</v>
      </c>
      <c r="L127" s="41">
        <f t="shared" si="75"/>
        <v>0</v>
      </c>
      <c r="M127" s="41">
        <f t="shared" si="75"/>
        <v>0</v>
      </c>
      <c r="N127" s="41">
        <f t="shared" si="75"/>
        <v>0</v>
      </c>
      <c r="O127" s="41">
        <f t="shared" si="75"/>
        <v>0</v>
      </c>
      <c r="P127" s="41">
        <f t="shared" si="75"/>
        <v>0</v>
      </c>
      <c r="Q127" s="41">
        <f t="shared" si="75"/>
        <v>0</v>
      </c>
      <c r="R127" s="41">
        <f t="shared" si="75"/>
        <v>0</v>
      </c>
      <c r="S127" s="41">
        <f t="shared" si="75"/>
        <v>0</v>
      </c>
      <c r="T127" s="41">
        <f t="shared" si="75"/>
        <v>0</v>
      </c>
      <c r="U127" s="41">
        <f t="shared" si="75"/>
        <v>0</v>
      </c>
      <c r="V127" s="41">
        <f t="shared" si="75"/>
        <v>0</v>
      </c>
      <c r="W127" s="41">
        <f t="shared" si="75"/>
        <v>0</v>
      </c>
      <c r="X127" s="41">
        <f t="shared" si="75"/>
        <v>0</v>
      </c>
      <c r="Y127" s="41">
        <f t="shared" ref="Y127" si="76">Y90-Y89</f>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9" t="s">
        <v>212</v>
      </c>
      <c r="E128" s="41">
        <f t="shared" ref="E128:X128" si="77">E91-E90</f>
        <v>0</v>
      </c>
      <c r="F128" s="41">
        <f t="shared" si="77"/>
        <v>0</v>
      </c>
      <c r="G128" s="41">
        <f t="shared" si="77"/>
        <v>0</v>
      </c>
      <c r="H128" s="41">
        <f t="shared" si="77"/>
        <v>0</v>
      </c>
      <c r="I128" s="41">
        <f t="shared" si="77"/>
        <v>0</v>
      </c>
      <c r="J128" s="41">
        <f t="shared" si="77"/>
        <v>0</v>
      </c>
      <c r="K128" s="41">
        <f t="shared" si="77"/>
        <v>0</v>
      </c>
      <c r="L128" s="41">
        <f t="shared" si="77"/>
        <v>0</v>
      </c>
      <c r="M128" s="41">
        <f t="shared" si="77"/>
        <v>0</v>
      </c>
      <c r="N128" s="41">
        <f t="shared" si="77"/>
        <v>0</v>
      </c>
      <c r="O128" s="41">
        <f t="shared" si="77"/>
        <v>0</v>
      </c>
      <c r="P128" s="41">
        <f t="shared" si="77"/>
        <v>0</v>
      </c>
      <c r="Q128" s="41">
        <f t="shared" si="77"/>
        <v>0</v>
      </c>
      <c r="R128" s="41">
        <f t="shared" si="77"/>
        <v>0</v>
      </c>
      <c r="S128" s="41">
        <f t="shared" si="77"/>
        <v>0</v>
      </c>
      <c r="T128" s="41">
        <f t="shared" si="77"/>
        <v>0</v>
      </c>
      <c r="U128" s="41">
        <f t="shared" si="77"/>
        <v>0</v>
      </c>
      <c r="V128" s="41">
        <f t="shared" si="77"/>
        <v>0</v>
      </c>
      <c r="W128" s="41">
        <f t="shared" si="77"/>
        <v>0</v>
      </c>
      <c r="X128" s="41">
        <f t="shared" si="77"/>
        <v>0</v>
      </c>
      <c r="Y128" s="41">
        <f t="shared" ref="Y128" si="78">Y91-Y90</f>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1:80" ht="15">
      <c r="C130" s="71" t="s">
        <v>135</v>
      </c>
      <c r="D130" s="72"/>
      <c r="E130" s="72">
        <f t="shared" ref="E130:X130" si="79">SUM(E97:E128)</f>
        <v>0</v>
      </c>
      <c r="F130" s="72">
        <f t="shared" si="79"/>
        <v>0</v>
      </c>
      <c r="G130" s="72">
        <f t="shared" si="79"/>
        <v>0</v>
      </c>
      <c r="H130" s="72">
        <f t="shared" si="79"/>
        <v>0</v>
      </c>
      <c r="I130" s="72">
        <f t="shared" si="79"/>
        <v>0</v>
      </c>
      <c r="J130" s="72">
        <f t="shared" si="79"/>
        <v>0</v>
      </c>
      <c r="K130" s="72">
        <f t="shared" si="79"/>
        <v>0</v>
      </c>
      <c r="L130" s="72">
        <f t="shared" si="79"/>
        <v>0</v>
      </c>
      <c r="M130" s="72">
        <f t="shared" si="79"/>
        <v>0</v>
      </c>
      <c r="N130" s="72">
        <f t="shared" si="79"/>
        <v>0</v>
      </c>
      <c r="O130" s="72">
        <f t="shared" si="79"/>
        <v>0</v>
      </c>
      <c r="P130" s="72">
        <f t="shared" si="79"/>
        <v>0</v>
      </c>
      <c r="Q130" s="72">
        <f t="shared" si="79"/>
        <v>0</v>
      </c>
      <c r="R130" s="72">
        <f t="shared" si="79"/>
        <v>0</v>
      </c>
      <c r="S130" s="72">
        <f t="shared" si="79"/>
        <v>0</v>
      </c>
      <c r="T130" s="72">
        <f t="shared" si="79"/>
        <v>0</v>
      </c>
      <c r="U130" s="72">
        <f t="shared" si="79"/>
        <v>0</v>
      </c>
      <c r="V130" s="72">
        <f t="shared" si="79"/>
        <v>0</v>
      </c>
      <c r="W130" s="72">
        <f t="shared" si="79"/>
        <v>0</v>
      </c>
      <c r="X130" s="72">
        <f t="shared" si="79"/>
        <v>0</v>
      </c>
      <c r="Y130" s="72"/>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ht="15">
      <c r="C131" s="71" t="s">
        <v>136</v>
      </c>
      <c r="D131" s="72"/>
      <c r="E131" s="72">
        <f>E130</f>
        <v>0</v>
      </c>
      <c r="F131" s="72">
        <f t="shared" ref="F131:X131" si="80">E131+F130</f>
        <v>0</v>
      </c>
      <c r="G131" s="72">
        <f t="shared" si="80"/>
        <v>0</v>
      </c>
      <c r="H131" s="72">
        <f t="shared" si="80"/>
        <v>0</v>
      </c>
      <c r="I131" s="72">
        <f t="shared" si="80"/>
        <v>0</v>
      </c>
      <c r="J131" s="72">
        <f t="shared" si="80"/>
        <v>0</v>
      </c>
      <c r="K131" s="72">
        <f t="shared" si="80"/>
        <v>0</v>
      </c>
      <c r="L131" s="72">
        <f t="shared" si="80"/>
        <v>0</v>
      </c>
      <c r="M131" s="72">
        <f t="shared" si="80"/>
        <v>0</v>
      </c>
      <c r="N131" s="72">
        <f t="shared" si="80"/>
        <v>0</v>
      </c>
      <c r="O131" s="72">
        <f t="shared" si="80"/>
        <v>0</v>
      </c>
      <c r="P131" s="72">
        <f t="shared" si="80"/>
        <v>0</v>
      </c>
      <c r="Q131" s="72">
        <f t="shared" si="80"/>
        <v>0</v>
      </c>
      <c r="R131" s="72">
        <f t="shared" si="80"/>
        <v>0</v>
      </c>
      <c r="S131" s="72">
        <f t="shared" si="80"/>
        <v>0</v>
      </c>
      <c r="T131" s="72">
        <f t="shared" si="80"/>
        <v>0</v>
      </c>
      <c r="U131" s="72">
        <f t="shared" si="80"/>
        <v>0</v>
      </c>
      <c r="V131" s="72">
        <f t="shared" si="80"/>
        <v>0</v>
      </c>
      <c r="W131" s="72">
        <f t="shared" si="80"/>
        <v>0</v>
      </c>
      <c r="X131" s="72">
        <f t="shared" si="80"/>
        <v>0</v>
      </c>
      <c r="Y131" s="72">
        <f>SUM(Y97:Y128)</f>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4" spans="1:80">
      <c r="A134" s="9" t="s">
        <v>140</v>
      </c>
    </row>
    <row r="136" spans="1:80">
      <c r="E136" s="41"/>
      <c r="F136" s="41"/>
      <c r="G136" s="41"/>
      <c r="H136" s="41"/>
      <c r="I136" s="41"/>
      <c r="J136" s="41"/>
      <c r="K136" s="41"/>
      <c r="L136" s="41"/>
      <c r="M136" s="41"/>
      <c r="N136" s="41"/>
      <c r="O136" s="41"/>
      <c r="P136" s="41"/>
      <c r="Q136" s="41"/>
      <c r="R136" s="41"/>
      <c r="S136" s="41"/>
      <c r="T136" s="41"/>
      <c r="U136" s="41"/>
      <c r="V136" s="41"/>
      <c r="W136" s="41"/>
      <c r="X136" s="41"/>
      <c r="Y136" s="41"/>
    </row>
    <row r="137" spans="1:80">
      <c r="E137" s="41"/>
      <c r="F137" s="41"/>
      <c r="G137" s="41"/>
      <c r="H137" s="41"/>
      <c r="I137" s="41"/>
      <c r="J137" s="41"/>
      <c r="K137" s="41"/>
      <c r="L137" s="41"/>
      <c r="M137" s="41"/>
      <c r="N137" s="41"/>
      <c r="O137" s="41"/>
      <c r="P137" s="41"/>
      <c r="Q137" s="41"/>
      <c r="R137" s="41"/>
      <c r="S137" s="41"/>
      <c r="T137" s="41"/>
      <c r="U137" s="41"/>
      <c r="V137" s="41"/>
      <c r="W137" s="41"/>
      <c r="X137" s="41"/>
      <c r="Y137" s="41"/>
    </row>
    <row r="138" spans="1:80" ht="15">
      <c r="A138" s="61" t="s">
        <v>141</v>
      </c>
      <c r="E138" s="41"/>
      <c r="F138" s="41"/>
      <c r="G138" s="41"/>
      <c r="H138" s="41"/>
      <c r="I138" s="41"/>
      <c r="J138" s="41"/>
      <c r="K138" s="41"/>
      <c r="L138" s="41"/>
      <c r="M138" s="41"/>
      <c r="N138" s="41"/>
      <c r="O138" s="41"/>
      <c r="P138" s="41"/>
      <c r="Q138" s="41"/>
      <c r="R138" s="41"/>
      <c r="S138" s="41"/>
      <c r="T138" s="41"/>
      <c r="U138" s="41"/>
      <c r="V138" s="41"/>
      <c r="W138" s="41"/>
      <c r="X138" s="41"/>
      <c r="Y138" s="41"/>
    </row>
    <row r="139" spans="1:80">
      <c r="A139" s="9" t="s">
        <v>142</v>
      </c>
      <c r="C139"/>
      <c r="D139"/>
      <c r="E139" s="9" t="s">
        <v>143</v>
      </c>
    </row>
    <row r="140" spans="1:80" ht="15">
      <c r="C140" s="51"/>
      <c r="D140" s="51"/>
      <c r="E140" s="70">
        <f>E11</f>
        <v>2016</v>
      </c>
      <c r="F140" s="70">
        <f t="shared" ref="F140:X140" si="81">F11</f>
        <v>2017</v>
      </c>
      <c r="G140" s="70">
        <f t="shared" si="81"/>
        <v>2018</v>
      </c>
      <c r="H140" s="70">
        <f t="shared" si="81"/>
        <v>2019</v>
      </c>
      <c r="I140" s="70">
        <f t="shared" si="81"/>
        <v>2020</v>
      </c>
      <c r="J140" s="70">
        <f t="shared" si="81"/>
        <v>2021</v>
      </c>
      <c r="K140" s="70">
        <f t="shared" si="81"/>
        <v>2022</v>
      </c>
      <c r="L140" s="70">
        <f t="shared" si="81"/>
        <v>2023</v>
      </c>
      <c r="M140" s="70">
        <f t="shared" si="81"/>
        <v>2024</v>
      </c>
      <c r="N140" s="70">
        <f t="shared" si="81"/>
        <v>2025</v>
      </c>
      <c r="O140" s="70">
        <f t="shared" si="81"/>
        <v>2026</v>
      </c>
      <c r="P140" s="70">
        <f t="shared" si="81"/>
        <v>2027</v>
      </c>
      <c r="Q140" s="70">
        <f t="shared" si="81"/>
        <v>2028</v>
      </c>
      <c r="R140" s="70">
        <f t="shared" si="81"/>
        <v>2029</v>
      </c>
      <c r="S140" s="70">
        <f t="shared" si="81"/>
        <v>2030</v>
      </c>
      <c r="T140" s="70">
        <f t="shared" si="81"/>
        <v>2031</v>
      </c>
      <c r="U140" s="70">
        <f t="shared" si="81"/>
        <v>2032</v>
      </c>
      <c r="V140" s="70">
        <f t="shared" si="81"/>
        <v>2033</v>
      </c>
      <c r="W140" s="70">
        <f t="shared" si="81"/>
        <v>2034</v>
      </c>
      <c r="X140" s="70">
        <f t="shared" si="81"/>
        <v>2035</v>
      </c>
      <c r="Y140" s="70"/>
    </row>
    <row r="141" spans="1:80">
      <c r="C141" s="9" t="str">
        <f>C13</f>
        <v>Single Family</v>
      </c>
      <c r="E141" s="41">
        <f>(E13-E33/$B23)</f>
        <v>0</v>
      </c>
      <c r="F141" s="41">
        <f t="shared" ref="F141:X144" si="82">(F13-F33/$B23)</f>
        <v>0</v>
      </c>
      <c r="G141" s="41">
        <f t="shared" si="82"/>
        <v>0</v>
      </c>
      <c r="H141" s="41">
        <f t="shared" si="82"/>
        <v>0</v>
      </c>
      <c r="I141" s="41">
        <f t="shared" si="82"/>
        <v>0</v>
      </c>
      <c r="J141" s="41">
        <f t="shared" si="82"/>
        <v>0</v>
      </c>
      <c r="K141" s="41">
        <f t="shared" si="82"/>
        <v>0</v>
      </c>
      <c r="L141" s="41">
        <f t="shared" si="82"/>
        <v>0</v>
      </c>
      <c r="M141" s="41">
        <f t="shared" si="82"/>
        <v>0</v>
      </c>
      <c r="N141" s="41">
        <f t="shared" si="82"/>
        <v>0</v>
      </c>
      <c r="O141" s="41">
        <f t="shared" si="82"/>
        <v>0</v>
      </c>
      <c r="P141" s="41">
        <f t="shared" si="82"/>
        <v>0</v>
      </c>
      <c r="Q141" s="41">
        <f t="shared" si="82"/>
        <v>0</v>
      </c>
      <c r="R141" s="41">
        <f t="shared" si="82"/>
        <v>0</v>
      </c>
      <c r="S141" s="41">
        <f t="shared" si="82"/>
        <v>0</v>
      </c>
      <c r="T141" s="41">
        <f t="shared" si="82"/>
        <v>0</v>
      </c>
      <c r="U141" s="41">
        <f t="shared" si="82"/>
        <v>0</v>
      </c>
      <c r="V141" s="41">
        <f t="shared" si="82"/>
        <v>0</v>
      </c>
      <c r="W141" s="41">
        <f t="shared" si="82"/>
        <v>0</v>
      </c>
      <c r="X141" s="41">
        <f t="shared" si="82"/>
        <v>0</v>
      </c>
      <c r="Y141" s="41"/>
      <c r="AA141" s="41">
        <f t="shared" ref="AA141:AA144" si="83">SUM(E141:Y141)</f>
        <v>0</v>
      </c>
    </row>
    <row r="142" spans="1:80">
      <c r="C142" s="9" t="str">
        <f>C14</f>
        <v>Multifamily - Low Rise</v>
      </c>
      <c r="E142" s="41">
        <f t="shared" ref="E142:T144" si="84">(E14-E34/$B24)</f>
        <v>0</v>
      </c>
      <c r="F142" s="41">
        <f t="shared" si="84"/>
        <v>0</v>
      </c>
      <c r="G142" s="41">
        <f t="shared" si="84"/>
        <v>0</v>
      </c>
      <c r="H142" s="41">
        <f t="shared" si="84"/>
        <v>0</v>
      </c>
      <c r="I142" s="41">
        <f t="shared" si="84"/>
        <v>0</v>
      </c>
      <c r="J142" s="41">
        <f t="shared" si="84"/>
        <v>0</v>
      </c>
      <c r="K142" s="41">
        <f t="shared" si="84"/>
        <v>0</v>
      </c>
      <c r="L142" s="41">
        <f t="shared" si="84"/>
        <v>0</v>
      </c>
      <c r="M142" s="41">
        <f t="shared" si="84"/>
        <v>0</v>
      </c>
      <c r="N142" s="41">
        <f t="shared" si="84"/>
        <v>0</v>
      </c>
      <c r="O142" s="41">
        <f t="shared" si="84"/>
        <v>0</v>
      </c>
      <c r="P142" s="41">
        <f t="shared" si="84"/>
        <v>0</v>
      </c>
      <c r="Q142" s="41">
        <f t="shared" si="84"/>
        <v>0</v>
      </c>
      <c r="R142" s="41">
        <f t="shared" si="84"/>
        <v>0</v>
      </c>
      <c r="S142" s="41">
        <f t="shared" si="84"/>
        <v>0</v>
      </c>
      <c r="T142" s="41">
        <f t="shared" si="84"/>
        <v>0</v>
      </c>
      <c r="U142" s="41">
        <f t="shared" si="82"/>
        <v>0</v>
      </c>
      <c r="V142" s="41">
        <f t="shared" si="82"/>
        <v>0</v>
      </c>
      <c r="W142" s="41">
        <f t="shared" si="82"/>
        <v>0</v>
      </c>
      <c r="X142" s="41">
        <f t="shared" si="82"/>
        <v>0</v>
      </c>
      <c r="Y142" s="41"/>
      <c r="AA142" s="41">
        <f t="shared" si="83"/>
        <v>0</v>
      </c>
    </row>
    <row r="143" spans="1:80">
      <c r="C143" s="9" t="str">
        <f>C15</f>
        <v>Multifamily - High Rise</v>
      </c>
      <c r="E143" s="41">
        <f t="shared" si="84"/>
        <v>0</v>
      </c>
      <c r="F143" s="41">
        <f t="shared" si="82"/>
        <v>0</v>
      </c>
      <c r="G143" s="41">
        <f t="shared" si="82"/>
        <v>0</v>
      </c>
      <c r="H143" s="41">
        <f t="shared" si="82"/>
        <v>0</v>
      </c>
      <c r="I143" s="41">
        <f t="shared" si="82"/>
        <v>0</v>
      </c>
      <c r="J143" s="41">
        <f t="shared" si="82"/>
        <v>0</v>
      </c>
      <c r="K143" s="41">
        <f t="shared" si="82"/>
        <v>0</v>
      </c>
      <c r="L143" s="41">
        <f t="shared" si="82"/>
        <v>0</v>
      </c>
      <c r="M143" s="41">
        <f t="shared" si="82"/>
        <v>0</v>
      </c>
      <c r="N143" s="41">
        <f t="shared" si="82"/>
        <v>0</v>
      </c>
      <c r="O143" s="41">
        <f t="shared" si="82"/>
        <v>0</v>
      </c>
      <c r="P143" s="41">
        <f t="shared" si="82"/>
        <v>0</v>
      </c>
      <c r="Q143" s="41">
        <f t="shared" si="82"/>
        <v>0</v>
      </c>
      <c r="R143" s="41">
        <f t="shared" si="82"/>
        <v>0</v>
      </c>
      <c r="S143" s="41">
        <f t="shared" si="82"/>
        <v>0</v>
      </c>
      <c r="T143" s="41">
        <f t="shared" si="82"/>
        <v>0</v>
      </c>
      <c r="U143" s="41">
        <f t="shared" si="82"/>
        <v>0</v>
      </c>
      <c r="V143" s="41">
        <f t="shared" si="82"/>
        <v>0</v>
      </c>
      <c r="W143" s="41">
        <f t="shared" si="82"/>
        <v>0</v>
      </c>
      <c r="X143" s="41">
        <f t="shared" si="82"/>
        <v>0</v>
      </c>
      <c r="Y143" s="41"/>
      <c r="AA143" s="41">
        <f t="shared" si="83"/>
        <v>0</v>
      </c>
    </row>
    <row r="144" spans="1:80">
      <c r="C144" s="9" t="str">
        <f>C16</f>
        <v>Manufactured</v>
      </c>
      <c r="E144" s="41">
        <f t="shared" si="84"/>
        <v>0</v>
      </c>
      <c r="F144" s="41">
        <f t="shared" si="82"/>
        <v>0</v>
      </c>
      <c r="G144" s="41">
        <f t="shared" si="82"/>
        <v>0</v>
      </c>
      <c r="H144" s="41">
        <f t="shared" si="82"/>
        <v>0</v>
      </c>
      <c r="I144" s="41">
        <f t="shared" si="82"/>
        <v>0</v>
      </c>
      <c r="J144" s="41">
        <f t="shared" si="82"/>
        <v>0</v>
      </c>
      <c r="K144" s="41">
        <f t="shared" si="82"/>
        <v>0</v>
      </c>
      <c r="L144" s="41">
        <f t="shared" si="82"/>
        <v>0</v>
      </c>
      <c r="M144" s="41">
        <f t="shared" si="82"/>
        <v>0</v>
      </c>
      <c r="N144" s="41">
        <f t="shared" si="82"/>
        <v>0</v>
      </c>
      <c r="O144" s="41">
        <f t="shared" si="82"/>
        <v>0</v>
      </c>
      <c r="P144" s="41">
        <f t="shared" si="82"/>
        <v>0</v>
      </c>
      <c r="Q144" s="41">
        <f t="shared" si="82"/>
        <v>0</v>
      </c>
      <c r="R144" s="41">
        <f t="shared" si="82"/>
        <v>0</v>
      </c>
      <c r="S144" s="41">
        <f t="shared" si="82"/>
        <v>0</v>
      </c>
      <c r="T144" s="41">
        <f t="shared" si="82"/>
        <v>0</v>
      </c>
      <c r="U144" s="41">
        <f t="shared" si="82"/>
        <v>0</v>
      </c>
      <c r="V144" s="41">
        <f t="shared" si="82"/>
        <v>0</v>
      </c>
      <c r="W144" s="41">
        <f t="shared" si="82"/>
        <v>0</v>
      </c>
      <c r="X144" s="41">
        <f t="shared" si="82"/>
        <v>0</v>
      </c>
      <c r="Y144" s="41"/>
      <c r="AA144" s="41">
        <f t="shared" si="83"/>
        <v>0</v>
      </c>
    </row>
    <row r="145" spans="3:27">
      <c r="E145" s="41"/>
      <c r="F145" s="41"/>
      <c r="G145" s="41"/>
      <c r="H145" s="41"/>
      <c r="I145" s="41"/>
      <c r="J145" s="41"/>
      <c r="K145" s="41"/>
      <c r="L145" s="41"/>
      <c r="M145" s="41"/>
      <c r="N145" s="41"/>
      <c r="O145" s="41"/>
      <c r="P145" s="41"/>
      <c r="Q145" s="41"/>
      <c r="R145" s="41"/>
      <c r="S145" s="41"/>
      <c r="T145" s="41"/>
      <c r="U145" s="41"/>
      <c r="V145" s="41"/>
      <c r="W145" s="41"/>
      <c r="X145" s="41"/>
      <c r="Y145" s="41"/>
    </row>
    <row r="146" spans="3:27">
      <c r="C146" s="9" t="s">
        <v>144</v>
      </c>
      <c r="E146" s="41">
        <f t="shared" ref="E146:X146" si="85">SUM(E141:E144)</f>
        <v>0</v>
      </c>
      <c r="F146" s="41">
        <f t="shared" si="85"/>
        <v>0</v>
      </c>
      <c r="G146" s="41">
        <f t="shared" si="85"/>
        <v>0</v>
      </c>
      <c r="H146" s="41">
        <f t="shared" si="85"/>
        <v>0</v>
      </c>
      <c r="I146" s="41">
        <f t="shared" si="85"/>
        <v>0</v>
      </c>
      <c r="J146" s="41">
        <f t="shared" si="85"/>
        <v>0</v>
      </c>
      <c r="K146" s="41">
        <f t="shared" si="85"/>
        <v>0</v>
      </c>
      <c r="L146" s="41">
        <f t="shared" si="85"/>
        <v>0</v>
      </c>
      <c r="M146" s="41">
        <f t="shared" si="85"/>
        <v>0</v>
      </c>
      <c r="N146" s="41">
        <f t="shared" si="85"/>
        <v>0</v>
      </c>
      <c r="O146" s="41">
        <f t="shared" si="85"/>
        <v>0</v>
      </c>
      <c r="P146" s="41">
        <f t="shared" si="85"/>
        <v>0</v>
      </c>
      <c r="Q146" s="41">
        <f t="shared" si="85"/>
        <v>0</v>
      </c>
      <c r="R146" s="41">
        <f t="shared" si="85"/>
        <v>0</v>
      </c>
      <c r="S146" s="41">
        <f t="shared" si="85"/>
        <v>0</v>
      </c>
      <c r="T146" s="41">
        <f t="shared" si="85"/>
        <v>0</v>
      </c>
      <c r="U146" s="41">
        <f t="shared" si="85"/>
        <v>0</v>
      </c>
      <c r="V146" s="41">
        <f t="shared" si="85"/>
        <v>0</v>
      </c>
      <c r="W146" s="41">
        <f t="shared" si="85"/>
        <v>0</v>
      </c>
      <c r="X146" s="41">
        <f t="shared" si="85"/>
        <v>0</v>
      </c>
      <c r="Y146" s="41"/>
      <c r="AA146" s="41">
        <f>SUM(E146:Y146)</f>
        <v>0</v>
      </c>
    </row>
  </sheetData>
  <mergeCells count="1">
    <mergeCell ref="B1:T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3"/>
  <dimension ref="A1:CB159"/>
  <sheetViews>
    <sheetView tabSelected="1" topLeftCell="B1" workbookViewId="0">
      <selection activeCell="E13" sqref="E13"/>
    </sheetView>
  </sheetViews>
  <sheetFormatPr defaultRowHeight="12.75"/>
  <cols>
    <col min="1" max="1" width="35" style="9" customWidth="1"/>
    <col min="2" max="2" width="30.140625" style="9" customWidth="1"/>
    <col min="3" max="3" width="19.85546875" style="9" customWidth="1"/>
    <col min="4" max="4" width="14.140625" style="9" customWidth="1"/>
    <col min="5" max="25" width="9.140625" style="9"/>
    <col min="27" max="27" width="9.140625" style="9"/>
    <col min="28" max="28" width="21.7109375" style="9" customWidth="1"/>
    <col min="29" max="29" width="35.85546875" style="9" customWidth="1"/>
    <col min="30" max="30" width="35.28515625" style="9" customWidth="1"/>
    <col min="31" max="31" width="15" style="9" customWidth="1"/>
    <col min="32" max="32" width="17.7109375" style="9" customWidth="1"/>
    <col min="33" max="33" width="15.140625" style="9" customWidth="1"/>
    <col min="34" max="34" width="15.7109375" style="9" customWidth="1"/>
    <col min="35" max="35" width="21.28515625" style="9" customWidth="1"/>
    <col min="36" max="36" width="17.7109375" style="9" bestFit="1" customWidth="1"/>
    <col min="37" max="37" width="15.42578125" style="9" bestFit="1" customWidth="1"/>
    <col min="38" max="38" width="14.28515625" style="9" bestFit="1" customWidth="1"/>
    <col min="39" max="39" width="14.28515625" style="9" customWidth="1"/>
    <col min="40" max="40" width="12.5703125" style="9" customWidth="1"/>
    <col min="41" max="41" width="14" style="9" bestFit="1" customWidth="1"/>
    <col min="42" max="43" width="10.85546875" style="9" bestFit="1" customWidth="1"/>
    <col min="44" max="44" width="13.42578125" style="9" customWidth="1"/>
    <col min="45" max="45" width="11.85546875" style="9" bestFit="1" customWidth="1"/>
    <col min="46" max="46" width="11" style="9" bestFit="1" customWidth="1"/>
    <col min="47" max="47" width="14.28515625" style="9" bestFit="1" customWidth="1"/>
    <col min="48" max="48" width="10.7109375" style="9" customWidth="1"/>
    <col min="49" max="49" width="13.85546875" style="9" bestFit="1" customWidth="1"/>
    <col min="50" max="50" width="11.7109375" style="9" bestFit="1" customWidth="1"/>
    <col min="51" max="51" width="15.28515625" style="9" bestFit="1" customWidth="1"/>
    <col min="52" max="54" width="12.28515625" style="9" bestFit="1" customWidth="1"/>
    <col min="55" max="55" width="12.5703125" style="9" bestFit="1" customWidth="1"/>
    <col min="56" max="58" width="14.28515625" style="9" bestFit="1" customWidth="1"/>
    <col min="59" max="59" width="13.7109375" style="9" bestFit="1" customWidth="1"/>
    <col min="60" max="60" width="14" style="9" bestFit="1" customWidth="1"/>
    <col min="61" max="61" width="12.85546875" style="9" bestFit="1" customWidth="1"/>
    <col min="62" max="62" width="15.28515625" style="9" bestFit="1" customWidth="1"/>
    <col min="63" max="63" width="12.28515625" style="9" bestFit="1" customWidth="1"/>
    <col min="64" max="64" width="10.85546875" style="9" bestFit="1" customWidth="1"/>
    <col min="65" max="65" width="12.28515625" style="9" bestFit="1" customWidth="1"/>
    <col min="66" max="66" width="12.5703125" style="9" bestFit="1" customWidth="1"/>
    <col min="67" max="16384" width="9.140625" style="9"/>
  </cols>
  <sheetData>
    <row r="1" spans="1:68">
      <c r="A1" s="48" t="s">
        <v>54</v>
      </c>
      <c r="B1" s="194" t="s">
        <v>723</v>
      </c>
      <c r="C1" s="194"/>
      <c r="D1" s="194"/>
      <c r="E1" s="194"/>
      <c r="F1" s="194"/>
      <c r="G1" s="194"/>
      <c r="H1" s="194"/>
      <c r="I1" s="194"/>
      <c r="J1" s="194"/>
      <c r="K1" s="194"/>
      <c r="L1" s="194"/>
      <c r="M1" s="194"/>
      <c r="N1" s="194"/>
      <c r="O1" s="194"/>
      <c r="P1" s="194"/>
      <c r="Q1" s="194"/>
      <c r="R1" s="194"/>
      <c r="S1" s="194"/>
    </row>
    <row r="2" spans="1:68">
      <c r="A2" s="49" t="s">
        <v>148</v>
      </c>
      <c r="B2" s="194"/>
      <c r="C2" s="194"/>
      <c r="D2" s="194"/>
      <c r="E2" s="194"/>
      <c r="F2" s="194"/>
      <c r="G2" s="194"/>
      <c r="H2" s="194"/>
      <c r="I2" s="194"/>
      <c r="J2" s="194"/>
      <c r="K2" s="194"/>
      <c r="L2" s="194"/>
      <c r="M2" s="194"/>
      <c r="N2" s="194"/>
      <c r="O2" s="194"/>
      <c r="P2" s="194"/>
      <c r="Q2" s="194"/>
      <c r="R2" s="194"/>
      <c r="S2" s="194"/>
    </row>
    <row r="3" spans="1:68">
      <c r="B3" s="194"/>
      <c r="C3" s="194"/>
      <c r="D3" s="194"/>
      <c r="E3" s="194"/>
      <c r="F3" s="194"/>
      <c r="G3" s="194"/>
      <c r="H3" s="194"/>
      <c r="I3" s="194"/>
      <c r="J3" s="194"/>
      <c r="K3" s="194"/>
      <c r="L3" s="194"/>
      <c r="M3" s="194"/>
      <c r="N3" s="194"/>
      <c r="O3" s="194"/>
      <c r="P3" s="194"/>
      <c r="Q3" s="194"/>
      <c r="R3" s="194"/>
      <c r="S3" s="194"/>
    </row>
    <row r="4" spans="1:68">
      <c r="B4" s="194"/>
      <c r="C4" s="194"/>
      <c r="D4" s="194"/>
      <c r="E4" s="194"/>
      <c r="F4" s="194"/>
      <c r="G4" s="194"/>
      <c r="H4" s="194"/>
      <c r="I4" s="194"/>
      <c r="J4" s="194"/>
      <c r="K4" s="194"/>
      <c r="L4" s="194"/>
      <c r="M4" s="194"/>
      <c r="N4" s="194"/>
      <c r="O4" s="194"/>
      <c r="P4" s="194"/>
      <c r="Q4" s="194"/>
      <c r="R4" s="194"/>
      <c r="S4" s="194"/>
    </row>
    <row r="5" spans="1:68">
      <c r="B5" s="194"/>
      <c r="C5" s="194"/>
      <c r="D5" s="194"/>
      <c r="E5" s="194"/>
      <c r="F5" s="194"/>
      <c r="G5" s="194"/>
      <c r="H5" s="194"/>
      <c r="I5" s="194"/>
      <c r="J5" s="194"/>
      <c r="K5" s="194"/>
      <c r="L5" s="194"/>
      <c r="M5" s="194"/>
      <c r="N5" s="194"/>
      <c r="O5" s="194"/>
      <c r="P5" s="194"/>
      <c r="Q5" s="194"/>
      <c r="R5" s="194"/>
      <c r="S5" s="194"/>
    </row>
    <row r="6" spans="1:68">
      <c r="B6" s="194"/>
      <c r="C6" s="194"/>
      <c r="D6" s="194"/>
      <c r="E6" s="194"/>
      <c r="F6" s="194"/>
      <c r="G6" s="194"/>
      <c r="H6" s="194"/>
      <c r="I6" s="194"/>
      <c r="J6" s="194"/>
      <c r="K6" s="194"/>
      <c r="L6" s="194"/>
      <c r="M6" s="194"/>
      <c r="N6" s="194"/>
      <c r="O6" s="194"/>
      <c r="P6" s="194"/>
      <c r="Q6" s="194"/>
      <c r="R6" s="194"/>
      <c r="S6" s="194"/>
    </row>
    <row r="7" spans="1:68">
      <c r="A7" s="158"/>
      <c r="B7" s="158" t="s">
        <v>47</v>
      </c>
      <c r="C7" s="59" t="s">
        <v>55</v>
      </c>
      <c r="D7" s="59" t="s">
        <v>174</v>
      </c>
    </row>
    <row r="8" spans="1:68">
      <c r="A8" s="158" t="s">
        <v>514</v>
      </c>
      <c r="B8" s="158" t="s">
        <v>56</v>
      </c>
      <c r="C8" s="59" t="str">
        <f>[2]MLIST!$B$30</f>
        <v>Solar Water Heater</v>
      </c>
      <c r="D8" s="59" t="str">
        <f>[1]!switch_ForecastState</f>
        <v>Region</v>
      </c>
    </row>
    <row r="9" spans="1:68">
      <c r="A9" s="158" t="str">
        <f>INDEX([2]ACHIEV!$A$19:$B$100,MATCH(CONCATENATE($C$8," - ",$C$7),[2]ACHIEV!$B$19:$B$100,0),1)</f>
        <v>Water Heating</v>
      </c>
      <c r="B9" s="159" t="s">
        <v>57</v>
      </c>
      <c r="C9" s="59">
        <f>[2]FILES!$H$4</f>
        <v>2035</v>
      </c>
      <c r="D9" s="59" t="str">
        <f>[1]!switch_ForecastScenario</f>
        <v>Base</v>
      </c>
    </row>
    <row r="10" spans="1:68">
      <c r="A10" s="158"/>
      <c r="B10" s="158" t="s">
        <v>729</v>
      </c>
      <c r="C10" s="193">
        <f ca="1">MIN(SUM(E71:X71),Y71)</f>
        <v>55.924909203546143</v>
      </c>
      <c r="D10" s="6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61" t="str">
        <f>CONCATENATE("# OF EXISTING HOMES FOR MEASURE -",$C$8)</f>
        <v># OF EXISTING HOMES FOR MEASURE -Solar Water Heater</v>
      </c>
      <c r="C11" s="9" t="s">
        <v>145</v>
      </c>
      <c r="E11" s="64">
        <v>2016</v>
      </c>
      <c r="F11" s="65">
        <v>2017</v>
      </c>
      <c r="G11" s="65">
        <v>2018</v>
      </c>
      <c r="H11" s="65">
        <v>2019</v>
      </c>
      <c r="I11" s="65">
        <v>2020</v>
      </c>
      <c r="J11" s="65">
        <v>2021</v>
      </c>
      <c r="K11" s="65">
        <v>2022</v>
      </c>
      <c r="L11" s="65">
        <v>2023</v>
      </c>
      <c r="M11" s="65">
        <v>2024</v>
      </c>
      <c r="N11" s="65">
        <v>2025</v>
      </c>
      <c r="O11" s="65">
        <v>2026</v>
      </c>
      <c r="P11" s="65">
        <v>2027</v>
      </c>
      <c r="Q11" s="65">
        <v>2028</v>
      </c>
      <c r="R11" s="65">
        <v>2029</v>
      </c>
      <c r="S11" s="65">
        <v>2030</v>
      </c>
      <c r="T11" s="65">
        <v>2031</v>
      </c>
      <c r="U11" s="65">
        <v>2032</v>
      </c>
      <c r="V11" s="65">
        <v>2033</v>
      </c>
      <c r="W11" s="65">
        <v>2034</v>
      </c>
      <c r="X11" s="65">
        <v>2035</v>
      </c>
      <c r="Y11" s="65"/>
      <c r="AA11" s="5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67" t="str">
        <f>CONCATENATE("Homes_",E11)</f>
        <v>Homes_2016</v>
      </c>
      <c r="F12" s="68" t="str">
        <f t="shared" ref="F12:X12" si="0">CONCATENATE("Homes_",F11)</f>
        <v>Homes_2017</v>
      </c>
      <c r="G12" s="68" t="str">
        <f t="shared" si="0"/>
        <v>Homes_2018</v>
      </c>
      <c r="H12" s="68" t="str">
        <f t="shared" si="0"/>
        <v>Homes_2019</v>
      </c>
      <c r="I12" s="68" t="str">
        <f t="shared" si="0"/>
        <v>Homes_2020</v>
      </c>
      <c r="J12" s="68" t="str">
        <f t="shared" si="0"/>
        <v>Homes_2021</v>
      </c>
      <c r="K12" s="68" t="str">
        <f t="shared" si="0"/>
        <v>Homes_2022</v>
      </c>
      <c r="L12" s="68" t="str">
        <f t="shared" si="0"/>
        <v>Homes_2023</v>
      </c>
      <c r="M12" s="68" t="str">
        <f t="shared" si="0"/>
        <v>Homes_2024</v>
      </c>
      <c r="N12" s="68" t="str">
        <f t="shared" si="0"/>
        <v>Homes_2025</v>
      </c>
      <c r="O12" s="68" t="str">
        <f t="shared" si="0"/>
        <v>Homes_2026</v>
      </c>
      <c r="P12" s="68" t="str">
        <f t="shared" si="0"/>
        <v>Homes_2027</v>
      </c>
      <c r="Q12" s="68" t="str">
        <f t="shared" si="0"/>
        <v>Homes_2028</v>
      </c>
      <c r="R12" s="68" t="str">
        <f t="shared" si="0"/>
        <v>Homes_2029</v>
      </c>
      <c r="S12" s="68" t="str">
        <f t="shared" si="0"/>
        <v>Homes_2030</v>
      </c>
      <c r="T12" s="68" t="str">
        <f t="shared" si="0"/>
        <v>Homes_2031</v>
      </c>
      <c r="U12" s="68" t="str">
        <f t="shared" si="0"/>
        <v>Homes_2032</v>
      </c>
      <c r="V12" s="68" t="str">
        <f t="shared" si="0"/>
        <v>Homes_2033</v>
      </c>
      <c r="W12" s="68" t="str">
        <f t="shared" si="0"/>
        <v>Homes_2034</v>
      </c>
      <c r="X12" s="68" t="str">
        <f t="shared" si="0"/>
        <v>Homes_2035</v>
      </c>
      <c r="Y12" s="69"/>
      <c r="AA12" s="48"/>
    </row>
    <row r="13" spans="1:68">
      <c r="C13" s="9" t="s">
        <v>48</v>
      </c>
      <c r="E13" s="41">
        <f>'[3]SC-NR'!F$218</f>
        <v>4202085.27737753</v>
      </c>
      <c r="F13" s="41">
        <f>'[3]SC-NR'!G$218</f>
        <v>4190280.1577994851</v>
      </c>
      <c r="G13" s="41">
        <f>'[3]SC-NR'!H$218</f>
        <v>4176249.020188143</v>
      </c>
      <c r="H13" s="41">
        <f>'[3]SC-NR'!I$218</f>
        <v>4158880.7440845841</v>
      </c>
      <c r="I13" s="41">
        <f>'[3]SC-NR'!J$218</f>
        <v>4137199.2441678727</v>
      </c>
      <c r="J13" s="41">
        <f>'[3]SC-NR'!K$218</f>
        <v>4110710.8461319762</v>
      </c>
      <c r="K13" s="41">
        <f>'[3]SC-NR'!L$218</f>
        <v>4079670.0752234017</v>
      </c>
      <c r="L13" s="41">
        <f>'[3]SC-NR'!M$218</f>
        <v>4045139.5886793537</v>
      </c>
      <c r="M13" s="41">
        <f>'[3]SC-NR'!N$218</f>
        <v>4008805.7284006802</v>
      </c>
      <c r="N13" s="41">
        <f>'[3]SC-NR'!O$218</f>
        <v>3972616.0220722822</v>
      </c>
      <c r="O13" s="41">
        <f>'[3]SC-NR'!P$218</f>
        <v>3938371.6741987197</v>
      </c>
      <c r="P13" s="41">
        <f>'[3]SC-NR'!Q$218</f>
        <v>3907408.1306946869</v>
      </c>
      <c r="Q13" s="41">
        <f>'[3]SC-NR'!R$218</f>
        <v>3880442.0242869835</v>
      </c>
      <c r="R13" s="41">
        <f>'[3]SC-NR'!S$218</f>
        <v>3813155.4107035557</v>
      </c>
      <c r="S13" s="41">
        <f>'[3]SC-NR'!T$218</f>
        <v>3794350.4832488401</v>
      </c>
      <c r="T13" s="41">
        <f>'[3]SC-NR'!U$218</f>
        <v>3780044.7020271178</v>
      </c>
      <c r="U13" s="41">
        <f>'[3]SC-NR'!V$218</f>
        <v>3768186.6161069339</v>
      </c>
      <c r="V13" s="41">
        <f>'[3]SC-NR'!W$218</f>
        <v>3758715.6878711386</v>
      </c>
      <c r="W13" s="41">
        <f>'[3]SC-NR'!X$218</f>
        <v>3751971.610899989</v>
      </c>
      <c r="X13" s="41">
        <f>'[3]SC-NR'!Y$218</f>
        <v>3745829.7152490127</v>
      </c>
      <c r="Y13" s="41"/>
      <c r="AA13" s="52"/>
    </row>
    <row r="14" spans="1:68">
      <c r="C14" s="9" t="s">
        <v>49</v>
      </c>
      <c r="E14" s="41">
        <f ca="1">INDEX([1]!tbl_Forecast,MATCH($D$8&amp;$C14&amp;$D$7,[1]!rng_ForecastRowLookup,0),MATCH(E$11,[1]!rng_ForecastColumnLookup,0))</f>
        <v>926243.25609262148</v>
      </c>
      <c r="F14" s="41">
        <f ca="1">INDEX([1]!tbl_Forecast,MATCH($D$8&amp;$C14&amp;$D$7,[1]!rng_ForecastRowLookup,0),MATCH(F$11,[1]!rng_ForecastColumnLookup,0))</f>
        <v>924139.92640956037</v>
      </c>
      <c r="G14" s="41">
        <f ca="1">INDEX([1]!tbl_Forecast,MATCH($D$8&amp;$C14&amp;$D$7,[1]!rng_ForecastRowLookup,0),MATCH(G$11,[1]!rng_ForecastColumnLookup,0))</f>
        <v>922041.3730050053</v>
      </c>
      <c r="H14" s="41">
        <f ca="1">INDEX([1]!tbl_Forecast,MATCH($D$8&amp;$C14&amp;$D$7,[1]!rng_ForecastRowLookup,0),MATCH(H$11,[1]!rng_ForecastColumnLookup,0))</f>
        <v>919947.58503289847</v>
      </c>
      <c r="I14" s="41">
        <f ca="1">INDEX([1]!tbl_Forecast,MATCH($D$8&amp;$C14&amp;$D$7,[1]!rng_ForecastRowLookup,0),MATCH(I$11,[1]!rng_ForecastColumnLookup,0))</f>
        <v>917858.55167181045</v>
      </c>
      <c r="J14" s="41">
        <f ca="1">INDEX([1]!tbl_Forecast,MATCH($D$8&amp;$C14&amp;$D$7,[1]!rng_ForecastRowLookup,0),MATCH(J$11,[1]!rng_ForecastColumnLookup,0))</f>
        <v>915774.26212488639</v>
      </c>
      <c r="K14" s="41">
        <f ca="1">INDEX([1]!tbl_Forecast,MATCH($D$8&amp;$C14&amp;$D$7,[1]!rng_ForecastRowLookup,0),MATCH(K$11,[1]!rng_ForecastColumnLookup,0))</f>
        <v>913694.70561978838</v>
      </c>
      <c r="L14" s="41">
        <f ca="1">INDEX([1]!tbl_Forecast,MATCH($D$8&amp;$C14&amp;$D$7,[1]!rng_ForecastRowLookup,0),MATCH(L$11,[1]!rng_ForecastColumnLookup,0))</f>
        <v>911619.87140864041</v>
      </c>
      <c r="M14" s="41">
        <f ca="1">INDEX([1]!tbl_Forecast,MATCH($D$8&amp;$C14&amp;$D$7,[1]!rng_ForecastRowLookup,0),MATCH(M$11,[1]!rng_ForecastColumnLookup,0))</f>
        <v>909549.74876797362</v>
      </c>
      <c r="N14" s="41">
        <f ca="1">INDEX([1]!tbl_Forecast,MATCH($D$8&amp;$C14&amp;$D$7,[1]!rng_ForecastRowLookup,0),MATCH(N$11,[1]!rng_ForecastColumnLookup,0))</f>
        <v>907484.32699866977</v>
      </c>
      <c r="O14" s="41">
        <f ca="1">INDEX([1]!tbl_Forecast,MATCH($D$8&amp;$C14&amp;$D$7,[1]!rng_ForecastRowLookup,0),MATCH(O$11,[1]!rng_ForecastColumnLookup,0))</f>
        <v>905423.59542590659</v>
      </c>
      <c r="P14" s="41">
        <f ca="1">INDEX([1]!tbl_Forecast,MATCH($D$8&amp;$C14&amp;$D$7,[1]!rng_ForecastRowLookup,0),MATCH(P$11,[1]!rng_ForecastColumnLookup,0))</f>
        <v>903367.54339910217</v>
      </c>
      <c r="Q14" s="41">
        <f ca="1">INDEX([1]!tbl_Forecast,MATCH($D$8&amp;$C14&amp;$D$7,[1]!rng_ForecastRowLookup,0),MATCH(Q$11,[1]!rng_ForecastColumnLookup,0))</f>
        <v>901316.16029185988</v>
      </c>
      <c r="R14" s="41">
        <f ca="1">INDEX([1]!tbl_Forecast,MATCH($D$8&amp;$C14&amp;$D$7,[1]!rng_ForecastRowLookup,0),MATCH(R$11,[1]!rng_ForecastColumnLookup,0))</f>
        <v>899269.43550191447</v>
      </c>
      <c r="S14" s="41">
        <f ca="1">INDEX([1]!tbl_Forecast,MATCH($D$8&amp;$C14&amp;$D$7,[1]!rng_ForecastRowLookup,0),MATCH(S$11,[1]!rng_ForecastColumnLookup,0))</f>
        <v>897227.35845107585</v>
      </c>
      <c r="T14" s="41">
        <f ca="1">INDEX([1]!tbl_Forecast,MATCH($D$8&amp;$C14&amp;$D$7,[1]!rng_ForecastRowLookup,0),MATCH(T$11,[1]!rng_ForecastColumnLookup,0))</f>
        <v>895189.9185851753</v>
      </c>
      <c r="U14" s="41">
        <f ca="1">INDEX([1]!tbl_Forecast,MATCH($D$8&amp;$C14&amp;$D$7,[1]!rng_ForecastRowLookup,0),MATCH(U$11,[1]!rng_ForecastColumnLookup,0))</f>
        <v>893157.10537401051</v>
      </c>
      <c r="V14" s="41">
        <f ca="1">INDEX([1]!tbl_Forecast,MATCH($D$8&amp;$C14&amp;$D$7,[1]!rng_ForecastRowLookup,0),MATCH(V$11,[1]!rng_ForecastColumnLookup,0))</f>
        <v>891128.90831129183</v>
      </c>
      <c r="W14" s="41">
        <f ca="1">INDEX([1]!tbl_Forecast,MATCH($D$8&amp;$C14&amp;$D$7,[1]!rng_ForecastRowLookup,0),MATCH(W$11,[1]!rng_ForecastColumnLookup,0))</f>
        <v>889105.31691458682</v>
      </c>
      <c r="X14" s="41">
        <f ca="1">INDEX([1]!tbl_Forecast,MATCH($D$8&amp;$C14&amp;$D$7,[1]!rng_ForecastRowLookup,0),MATCH(X$11,[1]!rng_ForecastColumnLookup,0))</f>
        <v>887086.32072526717</v>
      </c>
      <c r="Y14" s="41"/>
      <c r="AA14" s="52"/>
    </row>
    <row r="15" spans="1:68">
      <c r="C15" s="9" t="s">
        <v>50</v>
      </c>
      <c r="E15" s="41">
        <f ca="1">INDEX([1]!tbl_Forecast,MATCH($D$8&amp;$C15&amp;$D$7,[1]!rng_ForecastRowLookup,0),MATCH(E$11,[1]!rng_ForecastColumnLookup,0))</f>
        <v>211180.07985625503</v>
      </c>
      <c r="F15" s="41">
        <f ca="1">INDEX([1]!tbl_Forecast,MATCH($D$8&amp;$C15&amp;$D$7,[1]!rng_ForecastRowLookup,0),MATCH(F$11,[1]!rng_ForecastColumnLookup,0))</f>
        <v>210700.52836963299</v>
      </c>
      <c r="G15" s="41">
        <f ca="1">INDEX([1]!tbl_Forecast,MATCH($D$8&amp;$C15&amp;$D$7,[1]!rng_ForecastRowLookup,0),MATCH(G$11,[1]!rng_ForecastColumnLookup,0))</f>
        <v>210222.06585706791</v>
      </c>
      <c r="H15" s="41">
        <f ca="1">INDEX([1]!tbl_Forecast,MATCH($D$8&amp;$C15&amp;$D$7,[1]!rng_ForecastRowLookup,0),MATCH(H$11,[1]!rng_ForecastColumnLookup,0))</f>
        <v>209744.68984569819</v>
      </c>
      <c r="I15" s="41">
        <f ca="1">INDEX([1]!tbl_Forecast,MATCH($D$8&amp;$C15&amp;$D$7,[1]!rng_ForecastRowLookup,0),MATCH(I$11,[1]!rng_ForecastColumnLookup,0))</f>
        <v>209268.39786827751</v>
      </c>
      <c r="J15" s="41">
        <f ca="1">INDEX([1]!tbl_Forecast,MATCH($D$8&amp;$C15&amp;$D$7,[1]!rng_ForecastRowLookup,0),MATCH(J$11,[1]!rng_ForecastColumnLookup,0))</f>
        <v>208793.18746316229</v>
      </c>
      <c r="K15" s="41">
        <f ca="1">INDEX([1]!tbl_Forecast,MATCH($D$8&amp;$C15&amp;$D$7,[1]!rng_ForecastRowLookup,0),MATCH(K$11,[1]!rng_ForecastColumnLookup,0))</f>
        <v>208319.05617429892</v>
      </c>
      <c r="L15" s="41">
        <f ca="1">INDEX([1]!tbl_Forecast,MATCH($D$8&amp;$C15&amp;$D$7,[1]!rng_ForecastRowLookup,0),MATCH(L$11,[1]!rng_ForecastColumnLookup,0))</f>
        <v>207846.00155121088</v>
      </c>
      <c r="M15" s="41">
        <f ca="1">INDEX([1]!tbl_Forecast,MATCH($D$8&amp;$C15&amp;$D$7,[1]!rng_ForecastRowLookup,0),MATCH(M$11,[1]!rng_ForecastColumnLookup,0))</f>
        <v>207374.0211489865</v>
      </c>
      <c r="N15" s="41">
        <f ca="1">INDEX([1]!tbl_Forecast,MATCH($D$8&amp;$C15&amp;$D$7,[1]!rng_ForecastRowLookup,0),MATCH(N$11,[1]!rng_ForecastColumnLookup,0))</f>
        <v>206903.11252826577</v>
      </c>
      <c r="O15" s="41">
        <f ca="1">INDEX([1]!tbl_Forecast,MATCH($D$8&amp;$C15&amp;$D$7,[1]!rng_ForecastRowLookup,0),MATCH(O$11,[1]!rng_ForecastColumnLookup,0))</f>
        <v>206433.27325522827</v>
      </c>
      <c r="P15" s="41">
        <f ca="1">INDEX([1]!tbl_Forecast,MATCH($D$8&amp;$C15&amp;$D$7,[1]!rng_ForecastRowLookup,0),MATCH(P$11,[1]!rng_ForecastColumnLookup,0))</f>
        <v>205964.50090158021</v>
      </c>
      <c r="Q15" s="41">
        <f ca="1">INDEX([1]!tbl_Forecast,MATCH($D$8&amp;$C15&amp;$D$7,[1]!rng_ForecastRowLookup,0),MATCH(Q$11,[1]!rng_ForecastColumnLookup,0))</f>
        <v>205496.79304454199</v>
      </c>
      <c r="R15" s="41">
        <f ca="1">INDEX([1]!tbl_Forecast,MATCH($D$8&amp;$C15&amp;$D$7,[1]!rng_ForecastRowLookup,0),MATCH(R$11,[1]!rng_ForecastColumnLookup,0))</f>
        <v>205030.14726683579</v>
      </c>
      <c r="S15" s="41">
        <f ca="1">INDEX([1]!tbl_Forecast,MATCH($D$8&amp;$C15&amp;$D$7,[1]!rng_ForecastRowLookup,0),MATCH(S$11,[1]!rng_ForecastColumnLookup,0))</f>
        <v>204564.56115667295</v>
      </c>
      <c r="T15" s="41">
        <f ca="1">INDEX([1]!tbl_Forecast,MATCH($D$8&amp;$C15&amp;$D$7,[1]!rng_ForecastRowLookup,0),MATCH(T$11,[1]!rng_ForecastColumnLookup,0))</f>
        <v>204100.03230774152</v>
      </c>
      <c r="U15" s="41">
        <f ca="1">INDEX([1]!tbl_Forecast,MATCH($D$8&amp;$C15&amp;$D$7,[1]!rng_ForecastRowLookup,0),MATCH(U$11,[1]!rng_ForecastColumnLookup,0))</f>
        <v>203636.55831919383</v>
      </c>
      <c r="V15" s="41">
        <f ca="1">INDEX([1]!tbl_Forecast,MATCH($D$8&amp;$C15&amp;$D$7,[1]!rng_ForecastRowLookup,0),MATCH(V$11,[1]!rng_ForecastColumnLookup,0))</f>
        <v>203174.13679563423</v>
      </c>
      <c r="W15" s="41">
        <f ca="1">INDEX([1]!tbl_Forecast,MATCH($D$8&amp;$C15&amp;$D$7,[1]!rng_ForecastRowLookup,0),MATCH(W$11,[1]!rng_ForecastColumnLookup,0))</f>
        <v>202712.76534710638</v>
      </c>
      <c r="X15" s="41">
        <f ca="1">INDEX([1]!tbl_Forecast,MATCH($D$8&amp;$C15&amp;$D$7,[1]!rng_ForecastRowLookup,0),MATCH(X$11,[1]!rng_ForecastColumnLookup,0))</f>
        <v>202252.44158908122</v>
      </c>
      <c r="Y15" s="41"/>
      <c r="AA15" s="52"/>
    </row>
    <row r="16" spans="1:68">
      <c r="C16" s="9" t="s">
        <v>51</v>
      </c>
      <c r="E16" s="41">
        <f ca="1">INDEX([1]!tbl_Forecast,MATCH($D$8&amp;$C16&amp;$D$7,[1]!rng_ForecastRowLookup,0),MATCH(E$11,[1]!rng_ForecastColumnLookup,0))</f>
        <v>572006.3278356482</v>
      </c>
      <c r="F16" s="41">
        <f ca="1">INDEX([1]!tbl_Forecast,MATCH($D$8&amp;$C16&amp;$D$7,[1]!rng_ForecastRowLookup,0),MATCH(F$11,[1]!rng_ForecastColumnLookup,0))</f>
        <v>565893.30394507048</v>
      </c>
      <c r="G16" s="41">
        <f ca="1">INDEX([1]!tbl_Forecast,MATCH($D$8&amp;$C16&amp;$D$7,[1]!rng_ForecastRowLookup,0),MATCH(G$11,[1]!rng_ForecastColumnLookup,0))</f>
        <v>559845.60985814757</v>
      </c>
      <c r="H16" s="41">
        <f ca="1">INDEX([1]!tbl_Forecast,MATCH($D$8&amp;$C16&amp;$D$7,[1]!rng_ForecastRowLookup,0),MATCH(H$11,[1]!rng_ForecastColumnLookup,0))</f>
        <v>553862.54739615123</v>
      </c>
      <c r="I16" s="41">
        <f ca="1">INDEX([1]!tbl_Forecast,MATCH($D$8&amp;$C16&amp;$D$7,[1]!rng_ForecastRowLookup,0),MATCH(I$11,[1]!rng_ForecastColumnLookup,0))</f>
        <v>547943.42584177968</v>
      </c>
      <c r="J16" s="41">
        <f ca="1">INDEX([1]!tbl_Forecast,MATCH($D$8&amp;$C16&amp;$D$7,[1]!rng_ForecastRowLookup,0),MATCH(J$11,[1]!rng_ForecastColumnLookup,0))</f>
        <v>542087.56185941794</v>
      </c>
      <c r="K16" s="41">
        <f ca="1">INDEX([1]!tbl_Forecast,MATCH($D$8&amp;$C16&amp;$D$7,[1]!rng_ForecastRowLookup,0),MATCH(K$11,[1]!rng_ForecastColumnLookup,0))</f>
        <v>536294.27941624937</v>
      </c>
      <c r="L16" s="41">
        <f ca="1">INDEX([1]!tbl_Forecast,MATCH($D$8&amp;$C16&amp;$D$7,[1]!rng_ForecastRowLookup,0),MATCH(L$11,[1]!rng_ForecastColumnLookup,0))</f>
        <v>530562.90970421082</v>
      </c>
      <c r="M16" s="41">
        <f ca="1">INDEX([1]!tbl_Forecast,MATCH($D$8&amp;$C16&amp;$D$7,[1]!rng_ForecastRowLookup,0),MATCH(M$11,[1]!rng_ForecastColumnLookup,0))</f>
        <v>524892.79106278194</v>
      </c>
      <c r="N16" s="41">
        <f ca="1">INDEX([1]!tbl_Forecast,MATCH($D$8&amp;$C16&amp;$D$7,[1]!rng_ForecastRowLookup,0),MATCH(N$11,[1]!rng_ForecastColumnLookup,0))</f>
        <v>519283.26890259917</v>
      </c>
      <c r="O16" s="41">
        <f ca="1">INDEX([1]!tbl_Forecast,MATCH($D$8&amp;$C16&amp;$D$7,[1]!rng_ForecastRowLookup,0),MATCH(O$11,[1]!rng_ForecastColumnLookup,0))</f>
        <v>513733.69562988722</v>
      </c>
      <c r="P16" s="41">
        <f ca="1">INDEX([1]!tbl_Forecast,MATCH($D$8&amp;$C16&amp;$D$7,[1]!rng_ForecastRowLookup,0),MATCH(P$11,[1]!rng_ForecastColumnLookup,0))</f>
        <v>508243.4305716962</v>
      </c>
      <c r="Q16" s="41">
        <f ca="1">INDEX([1]!tbl_Forecast,MATCH($D$8&amp;$C16&amp;$D$7,[1]!rng_ForecastRowLookup,0),MATCH(Q$11,[1]!rng_ForecastColumnLookup,0))</f>
        <v>502811.8399019395</v>
      </c>
      <c r="R16" s="41">
        <f ca="1">INDEX([1]!tbl_Forecast,MATCH($D$8&amp;$C16&amp;$D$7,[1]!rng_ForecastRowLookup,0),MATCH(R$11,[1]!rng_ForecastColumnLookup,0))</f>
        <v>497438.2965682213</v>
      </c>
      <c r="S16" s="41">
        <f ca="1">INDEX([1]!tbl_Forecast,MATCH($D$8&amp;$C16&amp;$D$7,[1]!rng_ForecastRowLookup,0),MATCH(S$11,[1]!rng_ForecastColumnLookup,0))</f>
        <v>492122.18021944637</v>
      </c>
      <c r="T16" s="41">
        <f ca="1">INDEX([1]!tbl_Forecast,MATCH($D$8&amp;$C16&amp;$D$7,[1]!rng_ForecastRowLookup,0),MATCH(T$11,[1]!rng_ForecastColumnLookup,0))</f>
        <v>486862.87713420321</v>
      </c>
      <c r="U16" s="41">
        <f ca="1">INDEX([1]!tbl_Forecast,MATCH($D$8&amp;$C16&amp;$D$7,[1]!rng_ForecastRowLookup,0),MATCH(U$11,[1]!rng_ForecastColumnLookup,0))</f>
        <v>481659.78014991269</v>
      </c>
      <c r="V16" s="41">
        <f ca="1">INDEX([1]!tbl_Forecast,MATCH($D$8&amp;$C16&amp;$D$7,[1]!rng_ForecastRowLookup,0),MATCH(V$11,[1]!rng_ForecastColumnLookup,0))</f>
        <v>476512.28859273402</v>
      </c>
      <c r="W16" s="41">
        <f ca="1">INDEX([1]!tbl_Forecast,MATCH($D$8&amp;$C16&amp;$D$7,[1]!rng_ForecastRowLookup,0),MATCH(W$11,[1]!rng_ForecastColumnLookup,0))</f>
        <v>471419.80820821953</v>
      </c>
      <c r="X16" s="41">
        <f ca="1">INDEX([1]!tbl_Forecast,MATCH($D$8&amp;$C16&amp;$D$7,[1]!rng_ForecastRowLookup,0),MATCH(X$11,[1]!rng_ForecastColumnLookup,0))</f>
        <v>466381.75109271082</v>
      </c>
      <c r="Y16" s="41"/>
      <c r="AA16" s="52"/>
    </row>
    <row r="17" spans="1:68">
      <c r="E17" s="41"/>
      <c r="F17" s="41"/>
      <c r="G17" s="41"/>
      <c r="H17" s="41"/>
      <c r="I17" s="41"/>
      <c r="J17" s="41"/>
      <c r="K17" s="41"/>
      <c r="L17" s="41"/>
      <c r="M17" s="41"/>
      <c r="N17" s="41"/>
      <c r="O17" s="41"/>
      <c r="P17" s="41"/>
      <c r="Q17" s="41"/>
      <c r="R17" s="41"/>
      <c r="S17" s="41"/>
      <c r="T17" s="41"/>
      <c r="U17" s="41"/>
      <c r="V17" s="41"/>
      <c r="W17" s="41"/>
      <c r="X17" s="41"/>
      <c r="Y17" s="41"/>
    </row>
    <row r="18" spans="1:68">
      <c r="B18" s="9" t="s">
        <v>58</v>
      </c>
      <c r="C18" s="9" t="s">
        <v>59</v>
      </c>
      <c r="E18" s="41">
        <f t="shared" ref="E18:X18" ca="1" si="1">SUM(E13:E16)</f>
        <v>5911514.9411620554</v>
      </c>
      <c r="F18" s="41">
        <f t="shared" ca="1" si="1"/>
        <v>5891013.9165237481</v>
      </c>
      <c r="G18" s="41">
        <f t="shared" ca="1" si="1"/>
        <v>5868358.0689083636</v>
      </c>
      <c r="H18" s="41">
        <f t="shared" ca="1" si="1"/>
        <v>5842435.5663593318</v>
      </c>
      <c r="I18" s="41">
        <f t="shared" ca="1" si="1"/>
        <v>5812269.6195497401</v>
      </c>
      <c r="J18" s="41">
        <f t="shared" ca="1" si="1"/>
        <v>5777365.8575794427</v>
      </c>
      <c r="K18" s="41">
        <f t="shared" ca="1" si="1"/>
        <v>5737978.1164337378</v>
      </c>
      <c r="L18" s="41">
        <f t="shared" ca="1" si="1"/>
        <v>5695168.3713434162</v>
      </c>
      <c r="M18" s="41">
        <f t="shared" ca="1" si="1"/>
        <v>5650622.2893804219</v>
      </c>
      <c r="N18" s="41">
        <f t="shared" ca="1" si="1"/>
        <v>5606286.7305018166</v>
      </c>
      <c r="O18" s="41">
        <f t="shared" ca="1" si="1"/>
        <v>5563962.2385097416</v>
      </c>
      <c r="P18" s="41">
        <f t="shared" ca="1" si="1"/>
        <v>5524983.6055670651</v>
      </c>
      <c r="Q18" s="41">
        <f t="shared" ca="1" si="1"/>
        <v>5490066.8175253253</v>
      </c>
      <c r="R18" s="41">
        <f t="shared" ca="1" si="1"/>
        <v>5414893.2900405275</v>
      </c>
      <c r="S18" s="41">
        <f t="shared" ca="1" si="1"/>
        <v>5388264.5830760356</v>
      </c>
      <c r="T18" s="41">
        <f t="shared" ca="1" si="1"/>
        <v>5366197.5300542377</v>
      </c>
      <c r="U18" s="41">
        <f t="shared" ca="1" si="1"/>
        <v>5346640.0599500509</v>
      </c>
      <c r="V18" s="41">
        <f t="shared" ca="1" si="1"/>
        <v>5329531.0215707989</v>
      </c>
      <c r="W18" s="41">
        <f t="shared" ca="1" si="1"/>
        <v>5315209.5013699019</v>
      </c>
      <c r="X18" s="41">
        <f t="shared" ca="1" si="1"/>
        <v>5301550.2286560722</v>
      </c>
      <c r="Y18" s="41"/>
      <c r="AA18" s="52"/>
    </row>
    <row r="19" spans="1:68">
      <c r="D19" s="41"/>
      <c r="E19" s="41"/>
      <c r="F19" s="41"/>
      <c r="G19" s="41"/>
      <c r="H19" s="41"/>
      <c r="I19" s="41"/>
      <c r="J19" s="41"/>
      <c r="K19" s="41"/>
      <c r="L19" s="41"/>
      <c r="M19" s="41"/>
      <c r="N19" s="41"/>
      <c r="O19" s="41"/>
      <c r="P19" s="41"/>
      <c r="Q19" s="41"/>
      <c r="R19" s="41"/>
      <c r="S19" s="41"/>
      <c r="T19" s="41"/>
      <c r="U19" s="41"/>
      <c r="V19" s="41"/>
      <c r="W19" s="41"/>
      <c r="X19" s="41"/>
    </row>
    <row r="20" spans="1:68" ht="15">
      <c r="A20" s="61" t="str">
        <f>CONCATENATE("# OF UNTREATED NEW HOMES FOR MEASURE -",$C$8)</f>
        <v># OF UNTREATED NEW HOMES FOR MEASURE -Solar Water Heater</v>
      </c>
      <c r="C20" s="9" t="s">
        <v>145</v>
      </c>
      <c r="E20" s="64">
        <v>2016</v>
      </c>
      <c r="F20" s="65">
        <v>2017</v>
      </c>
      <c r="G20" s="65">
        <v>2018</v>
      </c>
      <c r="H20" s="65">
        <v>2019</v>
      </c>
      <c r="I20" s="65">
        <v>2020</v>
      </c>
      <c r="J20" s="65">
        <v>2021</v>
      </c>
      <c r="K20" s="65">
        <v>2022</v>
      </c>
      <c r="L20" s="65">
        <v>2023</v>
      </c>
      <c r="M20" s="65">
        <v>2024</v>
      </c>
      <c r="N20" s="65">
        <v>2025</v>
      </c>
      <c r="O20" s="65">
        <v>2026</v>
      </c>
      <c r="P20" s="65">
        <v>2027</v>
      </c>
      <c r="Q20" s="65">
        <v>2028</v>
      </c>
      <c r="R20" s="65">
        <v>2029</v>
      </c>
      <c r="S20" s="65">
        <v>2030</v>
      </c>
      <c r="T20" s="65">
        <v>2031</v>
      </c>
      <c r="U20" s="65">
        <v>2032</v>
      </c>
      <c r="V20" s="65">
        <v>2033</v>
      </c>
      <c r="W20" s="65">
        <v>2034</v>
      </c>
      <c r="X20" s="65">
        <v>2035</v>
      </c>
      <c r="Y20" s="65"/>
      <c r="AA20" s="50"/>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67" t="str">
        <f>CONCATENATE("HOMES_",E20)</f>
        <v>HOMES_2016</v>
      </c>
      <c r="F21" s="68" t="str">
        <f t="shared" ref="F21:X21" si="2">CONCATENATE("HOMES_",F20)</f>
        <v>HOMES_2017</v>
      </c>
      <c r="G21" s="68" t="str">
        <f t="shared" si="2"/>
        <v>HOMES_2018</v>
      </c>
      <c r="H21" s="68" t="str">
        <f t="shared" si="2"/>
        <v>HOMES_2019</v>
      </c>
      <c r="I21" s="68" t="str">
        <f t="shared" si="2"/>
        <v>HOMES_2020</v>
      </c>
      <c r="J21" s="68" t="str">
        <f t="shared" si="2"/>
        <v>HOMES_2021</v>
      </c>
      <c r="K21" s="68" t="str">
        <f t="shared" si="2"/>
        <v>HOMES_2022</v>
      </c>
      <c r="L21" s="68" t="str">
        <f t="shared" si="2"/>
        <v>HOMES_2023</v>
      </c>
      <c r="M21" s="68" t="str">
        <f t="shared" si="2"/>
        <v>HOMES_2024</v>
      </c>
      <c r="N21" s="68" t="str">
        <f t="shared" si="2"/>
        <v>HOMES_2025</v>
      </c>
      <c r="O21" s="68" t="str">
        <f t="shared" si="2"/>
        <v>HOMES_2026</v>
      </c>
      <c r="P21" s="68" t="str">
        <f t="shared" si="2"/>
        <v>HOMES_2027</v>
      </c>
      <c r="Q21" s="68" t="str">
        <f t="shared" si="2"/>
        <v>HOMES_2028</v>
      </c>
      <c r="R21" s="68" t="str">
        <f t="shared" si="2"/>
        <v>HOMES_2029</v>
      </c>
      <c r="S21" s="68" t="str">
        <f t="shared" si="2"/>
        <v>HOMES_2030</v>
      </c>
      <c r="T21" s="68" t="str">
        <f t="shared" si="2"/>
        <v>HOMES_2031</v>
      </c>
      <c r="U21" s="68" t="str">
        <f t="shared" si="2"/>
        <v>HOMES_2032</v>
      </c>
      <c r="V21" s="68" t="str">
        <f t="shared" si="2"/>
        <v>HOMES_2033</v>
      </c>
      <c r="W21" s="68" t="str">
        <f t="shared" si="2"/>
        <v>HOMES_2034</v>
      </c>
      <c r="X21" s="68" t="str">
        <f t="shared" si="2"/>
        <v>HOMES_2035</v>
      </c>
      <c r="Y21" s="69"/>
      <c r="AA21" s="48"/>
    </row>
    <row r="22" spans="1:68">
      <c r="C22" s="9" t="s">
        <v>48</v>
      </c>
      <c r="E22" s="58">
        <f>+'SC-New'!D141</f>
        <v>0</v>
      </c>
      <c r="F22" s="58">
        <f>+'SC-New'!E141</f>
        <v>0</v>
      </c>
      <c r="G22" s="58">
        <f>+'SC-New'!F141</f>
        <v>0</v>
      </c>
      <c r="H22" s="58">
        <f>+'SC-New'!G141</f>
        <v>0</v>
      </c>
      <c r="I22" s="58">
        <f>+'SC-New'!H141</f>
        <v>0</v>
      </c>
      <c r="J22" s="58">
        <f>+'SC-New'!I141</f>
        <v>0</v>
      </c>
      <c r="K22" s="58">
        <f>+'SC-New'!J141</f>
        <v>0</v>
      </c>
      <c r="L22" s="58">
        <f>+'SC-New'!K141</f>
        <v>0</v>
      </c>
      <c r="M22" s="58">
        <f>+'SC-New'!L141</f>
        <v>0</v>
      </c>
      <c r="N22" s="58">
        <f>+'SC-New'!M141</f>
        <v>0</v>
      </c>
      <c r="O22" s="58">
        <f>+'SC-New'!N141</f>
        <v>0</v>
      </c>
      <c r="P22" s="58">
        <f>+'SC-New'!O141</f>
        <v>0</v>
      </c>
      <c r="Q22" s="58">
        <f>+'SC-New'!P141</f>
        <v>0</v>
      </c>
      <c r="R22" s="58">
        <f>+'SC-New'!Q141</f>
        <v>0</v>
      </c>
      <c r="S22" s="58">
        <f>+'SC-New'!R141</f>
        <v>0</v>
      </c>
      <c r="T22" s="58">
        <f>+'SC-New'!S141</f>
        <v>0</v>
      </c>
      <c r="U22" s="58">
        <f>+'SC-New'!T141</f>
        <v>0</v>
      </c>
      <c r="V22" s="58">
        <f>+'SC-New'!U141</f>
        <v>0</v>
      </c>
      <c r="W22" s="58">
        <f>+'SC-New'!V141</f>
        <v>0</v>
      </c>
      <c r="X22" s="58">
        <f>+'SC-New'!W141</f>
        <v>0</v>
      </c>
      <c r="Y22" s="58"/>
      <c r="AA22" s="52"/>
    </row>
    <row r="23" spans="1:68">
      <c r="C23" s="9" t="s">
        <v>49</v>
      </c>
      <c r="E23" s="58">
        <f>+'SC-New'!D142</f>
        <v>0</v>
      </c>
      <c r="F23" s="58">
        <f>+'SC-New'!E142</f>
        <v>0</v>
      </c>
      <c r="G23" s="58">
        <f>+'SC-New'!F142</f>
        <v>0</v>
      </c>
      <c r="H23" s="58">
        <f>+'SC-New'!G142</f>
        <v>0</v>
      </c>
      <c r="I23" s="58">
        <f>+'SC-New'!H142</f>
        <v>0</v>
      </c>
      <c r="J23" s="58">
        <f>+'SC-New'!I142</f>
        <v>0</v>
      </c>
      <c r="K23" s="58">
        <f>+'SC-New'!J142</f>
        <v>0</v>
      </c>
      <c r="L23" s="58">
        <f>+'SC-New'!K142</f>
        <v>0</v>
      </c>
      <c r="M23" s="58">
        <f>+'SC-New'!L142</f>
        <v>0</v>
      </c>
      <c r="N23" s="58">
        <f>+'SC-New'!M142</f>
        <v>0</v>
      </c>
      <c r="O23" s="58">
        <f>+'SC-New'!N142</f>
        <v>0</v>
      </c>
      <c r="P23" s="58">
        <f>+'SC-New'!O142</f>
        <v>0</v>
      </c>
      <c r="Q23" s="58">
        <f>+'SC-New'!P142</f>
        <v>0</v>
      </c>
      <c r="R23" s="58">
        <f>+'SC-New'!Q142</f>
        <v>0</v>
      </c>
      <c r="S23" s="58">
        <f>+'SC-New'!R142</f>
        <v>0</v>
      </c>
      <c r="T23" s="58">
        <f>+'SC-New'!S142</f>
        <v>0</v>
      </c>
      <c r="U23" s="58">
        <f>+'SC-New'!T142</f>
        <v>0</v>
      </c>
      <c r="V23" s="58">
        <f>+'SC-New'!U142</f>
        <v>0</v>
      </c>
      <c r="W23" s="58">
        <f>+'SC-New'!V142</f>
        <v>0</v>
      </c>
      <c r="X23" s="58">
        <f>+'SC-New'!W142</f>
        <v>0</v>
      </c>
      <c r="Y23" s="58"/>
      <c r="AA23" s="52"/>
    </row>
    <row r="24" spans="1:68">
      <c r="C24" s="9" t="s">
        <v>50</v>
      </c>
      <c r="E24" s="58">
        <f>+'SC-New'!D143</f>
        <v>0</v>
      </c>
      <c r="F24" s="58">
        <f>+'SC-New'!E143</f>
        <v>0</v>
      </c>
      <c r="G24" s="58">
        <f>+'SC-New'!F143</f>
        <v>0</v>
      </c>
      <c r="H24" s="58">
        <f>+'SC-New'!G143</f>
        <v>0</v>
      </c>
      <c r="I24" s="58">
        <f>+'SC-New'!H143</f>
        <v>0</v>
      </c>
      <c r="J24" s="58">
        <f>+'SC-New'!I143</f>
        <v>0</v>
      </c>
      <c r="K24" s="58">
        <f>+'SC-New'!J143</f>
        <v>0</v>
      </c>
      <c r="L24" s="58">
        <f>+'SC-New'!K143</f>
        <v>0</v>
      </c>
      <c r="M24" s="58">
        <f>+'SC-New'!L143</f>
        <v>0</v>
      </c>
      <c r="N24" s="58">
        <f>+'SC-New'!M143</f>
        <v>0</v>
      </c>
      <c r="O24" s="58">
        <f>+'SC-New'!N143</f>
        <v>0</v>
      </c>
      <c r="P24" s="58">
        <f>+'SC-New'!O143</f>
        <v>0</v>
      </c>
      <c r="Q24" s="58">
        <f>+'SC-New'!P143</f>
        <v>0</v>
      </c>
      <c r="R24" s="58">
        <f>+'SC-New'!Q143</f>
        <v>0</v>
      </c>
      <c r="S24" s="58">
        <f>+'SC-New'!R143</f>
        <v>0</v>
      </c>
      <c r="T24" s="58">
        <f>+'SC-New'!S143</f>
        <v>0</v>
      </c>
      <c r="U24" s="58">
        <f>+'SC-New'!T143</f>
        <v>0</v>
      </c>
      <c r="V24" s="58">
        <f>+'SC-New'!U143</f>
        <v>0</v>
      </c>
      <c r="W24" s="58">
        <f>+'SC-New'!V143</f>
        <v>0</v>
      </c>
      <c r="X24" s="58">
        <f>+'SC-New'!W143</f>
        <v>0</v>
      </c>
      <c r="Y24" s="58"/>
      <c r="AA24" s="52"/>
    </row>
    <row r="25" spans="1:68">
      <c r="C25" s="9" t="s">
        <v>51</v>
      </c>
      <c r="E25" s="58">
        <f>+'SC-New'!D144</f>
        <v>0</v>
      </c>
      <c r="F25" s="58">
        <f>+'SC-New'!E144</f>
        <v>0</v>
      </c>
      <c r="G25" s="58">
        <f>+'SC-New'!F144</f>
        <v>0</v>
      </c>
      <c r="H25" s="58">
        <f>+'SC-New'!G144</f>
        <v>0</v>
      </c>
      <c r="I25" s="58">
        <f>+'SC-New'!H144</f>
        <v>0</v>
      </c>
      <c r="J25" s="58">
        <f>+'SC-New'!I144</f>
        <v>0</v>
      </c>
      <c r="K25" s="58">
        <f>+'SC-New'!J144</f>
        <v>0</v>
      </c>
      <c r="L25" s="58">
        <f>+'SC-New'!K144</f>
        <v>0</v>
      </c>
      <c r="M25" s="58">
        <f>+'SC-New'!L144</f>
        <v>0</v>
      </c>
      <c r="N25" s="58">
        <f>+'SC-New'!M144</f>
        <v>0</v>
      </c>
      <c r="O25" s="58">
        <f>+'SC-New'!N144</f>
        <v>0</v>
      </c>
      <c r="P25" s="58">
        <f>+'SC-New'!O144</f>
        <v>0</v>
      </c>
      <c r="Q25" s="58">
        <f>+'SC-New'!P144</f>
        <v>0</v>
      </c>
      <c r="R25" s="58">
        <f>+'SC-New'!Q144</f>
        <v>0</v>
      </c>
      <c r="S25" s="58">
        <f>+'SC-New'!R144</f>
        <v>0</v>
      </c>
      <c r="T25" s="58">
        <f>+'SC-New'!S144</f>
        <v>0</v>
      </c>
      <c r="U25" s="58">
        <f>+'SC-New'!T144</f>
        <v>0</v>
      </c>
      <c r="V25" s="58">
        <f>+'SC-New'!U144</f>
        <v>0</v>
      </c>
      <c r="W25" s="58">
        <f>+'SC-New'!V144</f>
        <v>0</v>
      </c>
      <c r="X25" s="58">
        <f>+'SC-New'!W144</f>
        <v>0</v>
      </c>
      <c r="Y25" s="58"/>
      <c r="AA25" s="52"/>
    </row>
    <row r="26" spans="1:68">
      <c r="E26" s="41"/>
      <c r="F26" s="41"/>
      <c r="G26" s="41"/>
      <c r="H26" s="41"/>
      <c r="I26" s="41"/>
      <c r="J26" s="41"/>
      <c r="K26" s="41"/>
      <c r="L26" s="41"/>
      <c r="M26" s="41"/>
      <c r="N26" s="41"/>
      <c r="O26" s="41"/>
      <c r="P26" s="41"/>
      <c r="Q26" s="41"/>
      <c r="R26" s="41"/>
      <c r="S26" s="41"/>
      <c r="T26" s="41"/>
      <c r="U26" s="41"/>
      <c r="V26" s="41"/>
      <c r="W26" s="41"/>
      <c r="X26" s="41"/>
      <c r="Y26" s="41"/>
    </row>
    <row r="27" spans="1:68">
      <c r="B27" s="9" t="s">
        <v>58</v>
      </c>
      <c r="C27" s="9" t="s">
        <v>59</v>
      </c>
      <c r="E27" s="41">
        <f ca="1">E18+SUM(E22:E25)</f>
        <v>5911514.9411620554</v>
      </c>
      <c r="F27" s="41">
        <f t="shared" ref="F27:X27" ca="1" si="3">F18+SUM(F22:F25)</f>
        <v>5891013.9165237481</v>
      </c>
      <c r="G27" s="41">
        <f t="shared" ca="1" si="3"/>
        <v>5868358.0689083636</v>
      </c>
      <c r="H27" s="41">
        <f t="shared" ca="1" si="3"/>
        <v>5842435.5663593318</v>
      </c>
      <c r="I27" s="41">
        <f t="shared" ca="1" si="3"/>
        <v>5812269.6195497401</v>
      </c>
      <c r="J27" s="41">
        <f t="shared" ca="1" si="3"/>
        <v>5777365.8575794427</v>
      </c>
      <c r="K27" s="41">
        <f t="shared" ca="1" si="3"/>
        <v>5737978.1164337378</v>
      </c>
      <c r="L27" s="41">
        <f t="shared" ca="1" si="3"/>
        <v>5695168.3713434162</v>
      </c>
      <c r="M27" s="41">
        <f t="shared" ca="1" si="3"/>
        <v>5650622.2893804219</v>
      </c>
      <c r="N27" s="41">
        <f t="shared" ca="1" si="3"/>
        <v>5606286.7305018166</v>
      </c>
      <c r="O27" s="41">
        <f t="shared" ca="1" si="3"/>
        <v>5563962.2385097416</v>
      </c>
      <c r="P27" s="41">
        <f t="shared" ca="1" si="3"/>
        <v>5524983.6055670651</v>
      </c>
      <c r="Q27" s="41">
        <f t="shared" ca="1" si="3"/>
        <v>5490066.8175253253</v>
      </c>
      <c r="R27" s="41">
        <f t="shared" ca="1" si="3"/>
        <v>5414893.2900405275</v>
      </c>
      <c r="S27" s="41">
        <f t="shared" ca="1" si="3"/>
        <v>5388264.5830760356</v>
      </c>
      <c r="T27" s="41">
        <f t="shared" ca="1" si="3"/>
        <v>5366197.5300542377</v>
      </c>
      <c r="U27" s="41">
        <f t="shared" ca="1" si="3"/>
        <v>5346640.0599500509</v>
      </c>
      <c r="V27" s="41">
        <f t="shared" ca="1" si="3"/>
        <v>5329531.0215707989</v>
      </c>
      <c r="W27" s="41">
        <f t="shared" ca="1" si="3"/>
        <v>5315209.5013699019</v>
      </c>
      <c r="X27" s="41">
        <f t="shared" ca="1" si="3"/>
        <v>5301550.2286560722</v>
      </c>
      <c r="Y27" s="41"/>
      <c r="AA27" s="52"/>
    </row>
    <row r="28" spans="1:68">
      <c r="D28" s="41"/>
      <c r="E28" s="41"/>
      <c r="F28" s="41"/>
      <c r="G28" s="41"/>
      <c r="H28" s="41"/>
      <c r="I28" s="41"/>
      <c r="J28" s="41"/>
      <c r="K28" s="41"/>
      <c r="L28" s="41"/>
      <c r="M28" s="41"/>
      <c r="N28" s="41"/>
      <c r="O28" s="41"/>
      <c r="P28" s="41"/>
      <c r="Q28" s="41"/>
      <c r="R28" s="41"/>
      <c r="S28" s="41"/>
      <c r="T28" s="41"/>
      <c r="U28" s="41"/>
      <c r="V28" s="41"/>
      <c r="W28" s="41"/>
      <c r="X28" s="41"/>
    </row>
    <row r="29" spans="1:68" ht="15">
      <c r="A29" s="61" t="str">
        <f>CONCATENATE("# HOMES APPLICABLE BY YEAR FOR MEASURE - ",C30)</f>
        <v># HOMES APPLICABLE BY YEAR FOR MEASURE - Solar Water Heater - Retro</v>
      </c>
      <c r="C29" s="9" t="s">
        <v>146</v>
      </c>
      <c r="D29" s="41"/>
      <c r="E29" s="41"/>
      <c r="F29" s="41"/>
      <c r="G29" s="41"/>
      <c r="H29" s="41"/>
      <c r="I29" s="41"/>
      <c r="J29" s="41"/>
      <c r="K29" s="41"/>
      <c r="L29" s="41"/>
      <c r="M29" s="41"/>
      <c r="N29" s="41"/>
      <c r="O29" s="41"/>
      <c r="P29" s="41"/>
      <c r="Q29" s="41"/>
      <c r="R29" s="41"/>
      <c r="S29" s="41"/>
      <c r="T29" s="41"/>
      <c r="U29" s="41"/>
      <c r="V29" s="41"/>
      <c r="W29" s="41"/>
      <c r="X29" s="41"/>
      <c r="AA29" s="50">
        <v>0.85</v>
      </c>
    </row>
    <row r="30" spans="1:68" ht="15">
      <c r="A30" s="70" t="s">
        <v>60</v>
      </c>
      <c r="B30" s="70" t="s">
        <v>150</v>
      </c>
      <c r="C30" s="70" t="str">
        <f>CONCATENATE(C8," - ",C7)</f>
        <v>Solar Water Heater - Retro</v>
      </c>
      <c r="D30" s="9">
        <v>2</v>
      </c>
      <c r="E30" s="9">
        <v>3</v>
      </c>
      <c r="F30" s="9">
        <v>4</v>
      </c>
      <c r="G30" s="9">
        <v>5</v>
      </c>
      <c r="H30" s="9">
        <v>6</v>
      </c>
      <c r="I30" s="9">
        <v>7</v>
      </c>
      <c r="J30" s="9">
        <v>8</v>
      </c>
      <c r="K30" s="9">
        <v>9</v>
      </c>
      <c r="L30" s="9">
        <v>10</v>
      </c>
      <c r="M30" s="9">
        <v>11</v>
      </c>
      <c r="N30" s="9">
        <v>12</v>
      </c>
      <c r="O30" s="9">
        <v>13</v>
      </c>
      <c r="P30" s="9">
        <v>14</v>
      </c>
      <c r="Q30" s="9">
        <v>15</v>
      </c>
      <c r="R30" s="9">
        <v>16</v>
      </c>
      <c r="S30" s="9">
        <v>17</v>
      </c>
      <c r="T30" s="9">
        <v>18</v>
      </c>
      <c r="U30" s="9">
        <v>19</v>
      </c>
      <c r="V30" s="9">
        <v>20</v>
      </c>
      <c r="W30" s="9">
        <v>21</v>
      </c>
      <c r="X30" s="9">
        <v>22</v>
      </c>
      <c r="AA30" s="48" t="s">
        <v>61</v>
      </c>
    </row>
    <row r="31" spans="1:68">
      <c r="A31" s="62">
        <f>INDEX([2]!ResApplic,MATCH($C$30,[2]APPLIC!$B$9:$B$120,0)+1,MATCH($C31,[2]APPLIC!$C$8:$F$8,0)+1)</f>
        <v>0.2475</v>
      </c>
      <c r="B31" s="96">
        <f>VLOOKUP("Electric WH",[2]!ExistingSat,MATCH($C31,[2]SATS!$B$10:$F$10,0),FALSE)</f>
        <v>0.55200000000000005</v>
      </c>
      <c r="C31" s="9" t="str">
        <f>C13</f>
        <v>Single Family</v>
      </c>
      <c r="E31" s="41">
        <f>E13*$A31*$B31</f>
        <v>574088.89059531817</v>
      </c>
      <c r="F31" s="41">
        <f t="shared" ref="F31:W34" si="4">F13*$A31*$B31</f>
        <v>572476.07515856565</v>
      </c>
      <c r="G31" s="41">
        <f t="shared" si="4"/>
        <v>570559.14113810414</v>
      </c>
      <c r="H31" s="41">
        <f t="shared" si="4"/>
        <v>568186.28725683596</v>
      </c>
      <c r="I31" s="41">
        <f t="shared" si="4"/>
        <v>565224.16073821485</v>
      </c>
      <c r="J31" s="41">
        <f t="shared" si="4"/>
        <v>561605.31579855061</v>
      </c>
      <c r="K31" s="41">
        <f t="shared" si="4"/>
        <v>557364.52567702113</v>
      </c>
      <c r="L31" s="41">
        <f t="shared" si="4"/>
        <v>552646.97060537327</v>
      </c>
      <c r="M31" s="41">
        <f t="shared" si="4"/>
        <v>547683.03861410101</v>
      </c>
      <c r="N31" s="41">
        <f t="shared" si="4"/>
        <v>542738.8009355152</v>
      </c>
      <c r="O31" s="41">
        <f t="shared" si="4"/>
        <v>538060.33812902914</v>
      </c>
      <c r="P31" s="41">
        <f t="shared" si="4"/>
        <v>533830.09881550819</v>
      </c>
      <c r="Q31" s="41">
        <f t="shared" si="4"/>
        <v>530145.98935808777</v>
      </c>
      <c r="R31" s="41">
        <f t="shared" si="4"/>
        <v>520953.29221031984</v>
      </c>
      <c r="S31" s="41">
        <f t="shared" si="4"/>
        <v>518384.16302145657</v>
      </c>
      <c r="T31" s="41">
        <f t="shared" si="4"/>
        <v>516429.70719094487</v>
      </c>
      <c r="U31" s="41">
        <f t="shared" si="4"/>
        <v>514809.65549252933</v>
      </c>
      <c r="V31" s="41">
        <f t="shared" si="4"/>
        <v>513515.73727695504</v>
      </c>
      <c r="W31" s="41">
        <f t="shared" si="4"/>
        <v>512594.36148115649</v>
      </c>
      <c r="X31" s="41">
        <f>X13*$A31*$B31</f>
        <v>511755.2556973201</v>
      </c>
      <c r="Y31" s="41"/>
      <c r="AA31" s="52">
        <f>(X31)*$AA$29</f>
        <v>434991.96734272206</v>
      </c>
    </row>
    <row r="32" spans="1:68">
      <c r="A32" s="62">
        <f>INDEX([2]!ResApplic,MATCH($C$30,[2]APPLIC!$B$9:$B$120,0)+1,MATCH($C32,[2]APPLIC!$C$8:$F$8,0)+1)</f>
        <v>0.25</v>
      </c>
      <c r="B32" s="96">
        <f>VLOOKUP("Electric WH",[2]!ExistingSat,MATCH($C32,[2]SATS!$B$10:$F$10,0),FALSE)</f>
        <v>0.94699999999999995</v>
      </c>
      <c r="C32" s="9" t="str">
        <f>C14</f>
        <v>Multifamily - Low Rise</v>
      </c>
      <c r="E32" s="41">
        <f t="shared" ref="E32:T34" ca="1" si="5">E14*$A32*$B32</f>
        <v>219288.09087992812</v>
      </c>
      <c r="F32" s="41">
        <f t="shared" ca="1" si="5"/>
        <v>218790.1275774634</v>
      </c>
      <c r="G32" s="41">
        <f t="shared" ca="1" si="5"/>
        <v>218293.29505893501</v>
      </c>
      <c r="H32" s="41">
        <f t="shared" ca="1" si="5"/>
        <v>217797.5907565387</v>
      </c>
      <c r="I32" s="41">
        <f t="shared" ca="1" si="5"/>
        <v>217303.0121083011</v>
      </c>
      <c r="J32" s="41">
        <f t="shared" ca="1" si="5"/>
        <v>216809.55655806683</v>
      </c>
      <c r="K32" s="41">
        <f t="shared" ca="1" si="5"/>
        <v>216317.2215554849</v>
      </c>
      <c r="L32" s="41">
        <f t="shared" ca="1" si="5"/>
        <v>215826.00455599561</v>
      </c>
      <c r="M32" s="41">
        <f t="shared" ca="1" si="5"/>
        <v>215335.90302081776</v>
      </c>
      <c r="N32" s="41">
        <f t="shared" ca="1" si="5"/>
        <v>214846.91441693506</v>
      </c>
      <c r="O32" s="41">
        <f t="shared" ca="1" si="5"/>
        <v>214359.03621708337</v>
      </c>
      <c r="P32" s="41">
        <f t="shared" ca="1" si="5"/>
        <v>213872.26589973742</v>
      </c>
      <c r="Q32" s="41">
        <f t="shared" ca="1" si="5"/>
        <v>213386.6009490978</v>
      </c>
      <c r="R32" s="41">
        <f t="shared" ca="1" si="5"/>
        <v>212902.03885507825</v>
      </c>
      <c r="S32" s="41">
        <f t="shared" ca="1" si="5"/>
        <v>212418.57711329221</v>
      </c>
      <c r="T32" s="41">
        <f t="shared" ca="1" si="5"/>
        <v>211936.21322504024</v>
      </c>
      <c r="U32" s="41">
        <f t="shared" ca="1" si="4"/>
        <v>211454.94469729697</v>
      </c>
      <c r="V32" s="41">
        <f t="shared" ca="1" si="4"/>
        <v>210974.76904269832</v>
      </c>
      <c r="W32" s="41">
        <f t="shared" ca="1" si="4"/>
        <v>210495.68377952842</v>
      </c>
      <c r="X32" s="41">
        <f t="shared" ref="X32" ca="1" si="6">X14*$A32*$B32</f>
        <v>210017.686431707</v>
      </c>
      <c r="Y32" s="41"/>
      <c r="AA32" s="52">
        <f ca="1">(X32)*$AA$29</f>
        <v>178515.03346695093</v>
      </c>
    </row>
    <row r="33" spans="1:71">
      <c r="A33" s="62">
        <f>INDEX([2]!ResApplic,MATCH($C$30,[2]APPLIC!$B$9:$B$120,0)+1,MATCH($C33,[2]APPLIC!$C$8:$F$8,0)+1)</f>
        <v>0</v>
      </c>
      <c r="B33" s="96">
        <f>VLOOKUP("Electric WH",[2]!ExistingSat,MATCH($C33,[2]SATS!$B$10:$F$10,0),FALSE)</f>
        <v>0.94699999999999995</v>
      </c>
      <c r="C33" s="9" t="str">
        <f>C15</f>
        <v>Multifamily - High Rise</v>
      </c>
      <c r="E33" s="41">
        <f t="shared" ca="1" si="5"/>
        <v>0</v>
      </c>
      <c r="F33" s="41">
        <f t="shared" ca="1" si="4"/>
        <v>0</v>
      </c>
      <c r="G33" s="41">
        <f t="shared" ca="1" si="4"/>
        <v>0</v>
      </c>
      <c r="H33" s="41">
        <f t="shared" ca="1" si="4"/>
        <v>0</v>
      </c>
      <c r="I33" s="41">
        <f t="shared" ca="1" si="4"/>
        <v>0</v>
      </c>
      <c r="J33" s="41">
        <f t="shared" ca="1" si="4"/>
        <v>0</v>
      </c>
      <c r="K33" s="41">
        <f t="shared" ca="1" si="4"/>
        <v>0</v>
      </c>
      <c r="L33" s="41">
        <f t="shared" ca="1" si="4"/>
        <v>0</v>
      </c>
      <c r="M33" s="41">
        <f t="shared" ca="1" si="4"/>
        <v>0</v>
      </c>
      <c r="N33" s="41">
        <f t="shared" ca="1" si="4"/>
        <v>0</v>
      </c>
      <c r="O33" s="41">
        <f t="shared" ca="1" si="4"/>
        <v>0</v>
      </c>
      <c r="P33" s="41">
        <f t="shared" ca="1" si="4"/>
        <v>0</v>
      </c>
      <c r="Q33" s="41">
        <f t="shared" ca="1" si="4"/>
        <v>0</v>
      </c>
      <c r="R33" s="41">
        <f t="shared" ca="1" si="4"/>
        <v>0</v>
      </c>
      <c r="S33" s="41">
        <f t="shared" ca="1" si="4"/>
        <v>0</v>
      </c>
      <c r="T33" s="41">
        <f t="shared" ca="1" si="4"/>
        <v>0</v>
      </c>
      <c r="U33" s="41">
        <f t="shared" ca="1" si="4"/>
        <v>0</v>
      </c>
      <c r="V33" s="41">
        <f t="shared" ca="1" si="4"/>
        <v>0</v>
      </c>
      <c r="W33" s="41">
        <f t="shared" ca="1" si="4"/>
        <v>0</v>
      </c>
      <c r="X33" s="41">
        <f t="shared" ref="X33" ca="1" si="7">X15*$A33*$B33</f>
        <v>0</v>
      </c>
      <c r="Y33" s="41"/>
      <c r="AA33" s="52">
        <f ca="1">(X33)*$AA$29</f>
        <v>0</v>
      </c>
    </row>
    <row r="34" spans="1:71">
      <c r="A34" s="62">
        <f>INDEX([2]!ResApplic,MATCH($C$30,[2]APPLIC!$B$9:$B$120,0)+1,MATCH($C34,[2]APPLIC!$C$8:$F$8,0)+1)</f>
        <v>0</v>
      </c>
      <c r="B34" s="96">
        <f>VLOOKUP("Electric WH",[2]!ExistingSat,MATCH($C34,[2]SATS!$B$10:$F$10,0),FALSE)</f>
        <v>0.88900000000000001</v>
      </c>
      <c r="C34" s="9" t="str">
        <f>C16</f>
        <v>Manufactured</v>
      </c>
      <c r="E34" s="41">
        <f t="shared" ca="1" si="5"/>
        <v>0</v>
      </c>
      <c r="F34" s="41">
        <f t="shared" ca="1" si="4"/>
        <v>0</v>
      </c>
      <c r="G34" s="41">
        <f t="shared" ca="1" si="4"/>
        <v>0</v>
      </c>
      <c r="H34" s="41">
        <f t="shared" ca="1" si="4"/>
        <v>0</v>
      </c>
      <c r="I34" s="41">
        <f t="shared" ca="1" si="4"/>
        <v>0</v>
      </c>
      <c r="J34" s="41">
        <f t="shared" ca="1" si="4"/>
        <v>0</v>
      </c>
      <c r="K34" s="41">
        <f t="shared" ca="1" si="4"/>
        <v>0</v>
      </c>
      <c r="L34" s="41">
        <f t="shared" ca="1" si="4"/>
        <v>0</v>
      </c>
      <c r="M34" s="41">
        <f t="shared" ca="1" si="4"/>
        <v>0</v>
      </c>
      <c r="N34" s="41">
        <f t="shared" ca="1" si="4"/>
        <v>0</v>
      </c>
      <c r="O34" s="41">
        <f t="shared" ca="1" si="4"/>
        <v>0</v>
      </c>
      <c r="P34" s="41">
        <f t="shared" ca="1" si="4"/>
        <v>0</v>
      </c>
      <c r="Q34" s="41">
        <f t="shared" ca="1" si="4"/>
        <v>0</v>
      </c>
      <c r="R34" s="41">
        <f t="shared" ca="1" si="4"/>
        <v>0</v>
      </c>
      <c r="S34" s="41">
        <f t="shared" ca="1" si="4"/>
        <v>0</v>
      </c>
      <c r="T34" s="41">
        <f t="shared" ca="1" si="4"/>
        <v>0</v>
      </c>
      <c r="U34" s="41">
        <f t="shared" ca="1" si="4"/>
        <v>0</v>
      </c>
      <c r="V34" s="41">
        <f t="shared" ca="1" si="4"/>
        <v>0</v>
      </c>
      <c r="W34" s="41">
        <f t="shared" ca="1" si="4"/>
        <v>0</v>
      </c>
      <c r="X34" s="41">
        <f t="shared" ref="X34" ca="1" si="8">X16*$A34*$B34</f>
        <v>0</v>
      </c>
      <c r="Y34" s="41"/>
      <c r="AA34" s="52">
        <f ca="1">(X34)*$AA$29</f>
        <v>0</v>
      </c>
    </row>
    <row r="35" spans="1:71">
      <c r="E35" s="41"/>
      <c r="F35" s="41"/>
      <c r="G35" s="41"/>
      <c r="H35" s="41"/>
      <c r="I35" s="41"/>
      <c r="J35" s="41"/>
      <c r="K35" s="41"/>
      <c r="L35" s="41"/>
      <c r="M35" s="41"/>
      <c r="N35" s="41"/>
      <c r="O35" s="41"/>
      <c r="P35" s="41"/>
      <c r="Q35" s="41"/>
      <c r="R35" s="41"/>
      <c r="S35" s="41"/>
      <c r="T35" s="41"/>
      <c r="U35" s="41"/>
      <c r="V35" s="41"/>
      <c r="W35" s="41"/>
      <c r="X35" s="41"/>
      <c r="Y35" s="41"/>
    </row>
    <row r="36" spans="1:71">
      <c r="E36" s="41">
        <f t="shared" ref="E36:X36" ca="1" si="9">SUM(E31:E34)</f>
        <v>793376.98147524626</v>
      </c>
      <c r="F36" s="41">
        <f t="shared" ca="1" si="9"/>
        <v>791266.20273602905</v>
      </c>
      <c r="G36" s="41">
        <f t="shared" ca="1" si="9"/>
        <v>788852.43619703921</v>
      </c>
      <c r="H36" s="41">
        <f t="shared" ca="1" si="9"/>
        <v>785983.87801337463</v>
      </c>
      <c r="I36" s="41">
        <f t="shared" ca="1" si="9"/>
        <v>782527.1728465159</v>
      </c>
      <c r="J36" s="41">
        <f t="shared" ca="1" si="9"/>
        <v>778414.87235661747</v>
      </c>
      <c r="K36" s="41">
        <f t="shared" ca="1" si="9"/>
        <v>773681.74723250605</v>
      </c>
      <c r="L36" s="41">
        <f t="shared" ca="1" si="9"/>
        <v>768472.97516136884</v>
      </c>
      <c r="M36" s="41">
        <f t="shared" ca="1" si="9"/>
        <v>763018.9416349188</v>
      </c>
      <c r="N36" s="41">
        <f t="shared" ca="1" si="9"/>
        <v>757585.71535245026</v>
      </c>
      <c r="O36" s="41">
        <f t="shared" ca="1" si="9"/>
        <v>752419.37434611248</v>
      </c>
      <c r="P36" s="41">
        <f t="shared" ca="1" si="9"/>
        <v>747702.36471524555</v>
      </c>
      <c r="Q36" s="41">
        <f t="shared" ca="1" si="9"/>
        <v>743532.59030718554</v>
      </c>
      <c r="R36" s="41">
        <f t="shared" ca="1" si="9"/>
        <v>733855.33106539806</v>
      </c>
      <c r="S36" s="41">
        <f t="shared" ca="1" si="9"/>
        <v>730802.74013474875</v>
      </c>
      <c r="T36" s="41">
        <f t="shared" ca="1" si="9"/>
        <v>728365.92041598517</v>
      </c>
      <c r="U36" s="41">
        <f t="shared" ca="1" si="9"/>
        <v>726264.60018982633</v>
      </c>
      <c r="V36" s="41">
        <f t="shared" ca="1" si="9"/>
        <v>724490.50631965336</v>
      </c>
      <c r="W36" s="41">
        <f t="shared" ca="1" si="9"/>
        <v>723090.04526068491</v>
      </c>
      <c r="X36" s="41">
        <f t="shared" ca="1" si="9"/>
        <v>721772.9421290271</v>
      </c>
      <c r="Y36" s="41"/>
      <c r="AA36" s="52">
        <f ca="1">SUM(AA31:AA34)</f>
        <v>613507.00080967299</v>
      </c>
    </row>
    <row r="37" spans="1:71">
      <c r="D37" s="41"/>
      <c r="E37" s="41"/>
      <c r="F37" s="41"/>
      <c r="G37" s="41"/>
      <c r="H37" s="41"/>
      <c r="I37" s="41"/>
      <c r="J37" s="41"/>
      <c r="K37" s="41"/>
      <c r="L37" s="41"/>
      <c r="M37" s="41"/>
      <c r="N37" s="41"/>
      <c r="O37" s="41"/>
      <c r="P37" s="41"/>
      <c r="Q37" s="41"/>
      <c r="R37" s="41"/>
      <c r="S37" s="41"/>
      <c r="T37" s="41"/>
      <c r="U37" s="41"/>
      <c r="V37" s="41"/>
      <c r="W37" s="41"/>
      <c r="X37" s="41"/>
    </row>
    <row r="38" spans="1:71" ht="15">
      <c r="A38" s="61" t="str">
        <f>CONCATENATE("# HOMES APPLICABLE BY YEAR FOR MEASURE - ",C30)</f>
        <v># HOMES APPLICABLE BY YEAR FOR MEASURE - Solar Water Heater - Retro</v>
      </c>
      <c r="C38" s="9" t="s">
        <v>147</v>
      </c>
      <c r="D38" s="41"/>
      <c r="E38" s="41"/>
      <c r="F38" s="41"/>
      <c r="G38" s="41"/>
      <c r="H38" s="41"/>
      <c r="I38" s="41"/>
      <c r="J38" s="41"/>
      <c r="K38" s="41"/>
      <c r="L38" s="41"/>
      <c r="M38" s="41"/>
      <c r="N38" s="41"/>
      <c r="O38" s="41"/>
      <c r="P38" s="41"/>
      <c r="Q38" s="41"/>
      <c r="R38" s="41"/>
      <c r="S38" s="41"/>
      <c r="T38" s="41"/>
      <c r="U38" s="41"/>
      <c r="V38" s="41"/>
      <c r="W38" s="41"/>
      <c r="X38" s="41"/>
      <c r="AA38" s="50">
        <v>0.85</v>
      </c>
    </row>
    <row r="39" spans="1:71" ht="15">
      <c r="A39" s="70" t="s">
        <v>60</v>
      </c>
      <c r="B39" s="70" t="s">
        <v>150</v>
      </c>
      <c r="C39" s="70" t="str">
        <f>CONCATENATE(C8," - ","NEW")</f>
        <v>Solar Water Heater - NEW</v>
      </c>
      <c r="D39" s="9">
        <v>2</v>
      </c>
      <c r="E39" s="9">
        <v>3</v>
      </c>
      <c r="F39" s="9">
        <v>4</v>
      </c>
      <c r="G39" s="9">
        <v>5</v>
      </c>
      <c r="H39" s="9">
        <v>6</v>
      </c>
      <c r="I39" s="9">
        <v>7</v>
      </c>
      <c r="J39" s="9">
        <v>8</v>
      </c>
      <c r="K39" s="9">
        <v>9</v>
      </c>
      <c r="L39" s="9">
        <v>10</v>
      </c>
      <c r="M39" s="9">
        <v>11</v>
      </c>
      <c r="N39" s="9">
        <v>12</v>
      </c>
      <c r="O39" s="9">
        <v>13</v>
      </c>
      <c r="P39" s="9">
        <v>14</v>
      </c>
      <c r="Q39" s="9">
        <v>15</v>
      </c>
      <c r="R39" s="9">
        <v>16</v>
      </c>
      <c r="S39" s="9">
        <v>17</v>
      </c>
      <c r="T39" s="9">
        <v>18</v>
      </c>
      <c r="U39" s="9">
        <v>19</v>
      </c>
      <c r="V39" s="9">
        <v>20</v>
      </c>
      <c r="W39" s="9">
        <v>21</v>
      </c>
      <c r="X39" s="9">
        <v>22</v>
      </c>
      <c r="AA39" s="48" t="s">
        <v>61</v>
      </c>
    </row>
    <row r="40" spans="1:71">
      <c r="A40" s="62">
        <f>INDEX([2]!ResApplic,MATCH($C$39,[2]APPLIC!$B$9:$B$120,0)+1,MATCH($C40,[2]APPLIC!$C$8:$F$8,0)+1)</f>
        <v>0.2475</v>
      </c>
      <c r="B40" s="96">
        <f>VLOOKUP("Electric WH",[2]!NewSat,MATCH($C40,[2]SATS!$B$10:$F$10,0),FALSE)</f>
        <v>0.55200000000000005</v>
      </c>
      <c r="C40" s="9" t="str">
        <f>C22</f>
        <v>Single Family</v>
      </c>
      <c r="E40" s="41">
        <f>E22*$A40*$B40</f>
        <v>0</v>
      </c>
      <c r="F40" s="41">
        <f t="shared" ref="F40:X43" si="10">F22*$A40*$B40</f>
        <v>0</v>
      </c>
      <c r="G40" s="41">
        <f t="shared" si="10"/>
        <v>0</v>
      </c>
      <c r="H40" s="41">
        <f t="shared" si="10"/>
        <v>0</v>
      </c>
      <c r="I40" s="41">
        <f t="shared" si="10"/>
        <v>0</v>
      </c>
      <c r="J40" s="41">
        <f t="shared" si="10"/>
        <v>0</v>
      </c>
      <c r="K40" s="41">
        <f t="shared" si="10"/>
        <v>0</v>
      </c>
      <c r="L40" s="41">
        <f t="shared" si="10"/>
        <v>0</v>
      </c>
      <c r="M40" s="41">
        <f t="shared" si="10"/>
        <v>0</v>
      </c>
      <c r="N40" s="41">
        <f t="shared" si="10"/>
        <v>0</v>
      </c>
      <c r="O40" s="41">
        <f t="shared" si="10"/>
        <v>0</v>
      </c>
      <c r="P40" s="41">
        <f t="shared" si="10"/>
        <v>0</v>
      </c>
      <c r="Q40" s="41">
        <f t="shared" si="10"/>
        <v>0</v>
      </c>
      <c r="R40" s="41">
        <f t="shared" si="10"/>
        <v>0</v>
      </c>
      <c r="S40" s="41">
        <f t="shared" si="10"/>
        <v>0</v>
      </c>
      <c r="T40" s="41">
        <f t="shared" si="10"/>
        <v>0</v>
      </c>
      <c r="U40" s="41">
        <f t="shared" si="10"/>
        <v>0</v>
      </c>
      <c r="V40" s="41">
        <f t="shared" si="10"/>
        <v>0</v>
      </c>
      <c r="W40" s="41">
        <f t="shared" si="10"/>
        <v>0</v>
      </c>
      <c r="X40" s="41">
        <f t="shared" si="10"/>
        <v>0</v>
      </c>
      <c r="Y40" s="41"/>
      <c r="AA40" s="52">
        <f>SUM(E40:X40)*$AA$29</f>
        <v>0</v>
      </c>
    </row>
    <row r="41" spans="1:71">
      <c r="A41" s="62">
        <f>INDEX([2]!ResApplic,MATCH($C$39,[2]APPLIC!$B$9:$B$120,0)+1,MATCH($C41,[2]APPLIC!$C$8:$F$8,0)+1)</f>
        <v>0.25</v>
      </c>
      <c r="B41" s="96">
        <f>VLOOKUP("Electric WH",[2]!NewSat,MATCH($C41,[2]SATS!$B$10:$F$10,0),FALSE)</f>
        <v>0.94699999999999995</v>
      </c>
      <c r="C41" s="9" t="str">
        <f>C23</f>
        <v>Multifamily - Low Rise</v>
      </c>
      <c r="E41" s="41">
        <f t="shared" ref="E41:T43" si="11">E23*$A41*$B41</f>
        <v>0</v>
      </c>
      <c r="F41" s="41">
        <f t="shared" si="11"/>
        <v>0</v>
      </c>
      <c r="G41" s="41">
        <f t="shared" si="11"/>
        <v>0</v>
      </c>
      <c r="H41" s="41">
        <f t="shared" si="11"/>
        <v>0</v>
      </c>
      <c r="I41" s="41">
        <f t="shared" si="11"/>
        <v>0</v>
      </c>
      <c r="J41" s="41">
        <f t="shared" si="11"/>
        <v>0</v>
      </c>
      <c r="K41" s="41">
        <f t="shared" si="11"/>
        <v>0</v>
      </c>
      <c r="L41" s="41">
        <f t="shared" si="11"/>
        <v>0</v>
      </c>
      <c r="M41" s="41">
        <f t="shared" si="11"/>
        <v>0</v>
      </c>
      <c r="N41" s="41">
        <f t="shared" si="11"/>
        <v>0</v>
      </c>
      <c r="O41" s="41">
        <f t="shared" si="11"/>
        <v>0</v>
      </c>
      <c r="P41" s="41">
        <f t="shared" si="11"/>
        <v>0</v>
      </c>
      <c r="Q41" s="41">
        <f t="shared" si="11"/>
        <v>0</v>
      </c>
      <c r="R41" s="41">
        <f t="shared" si="11"/>
        <v>0</v>
      </c>
      <c r="S41" s="41">
        <f t="shared" si="11"/>
        <v>0</v>
      </c>
      <c r="T41" s="41">
        <f t="shared" si="11"/>
        <v>0</v>
      </c>
      <c r="U41" s="41">
        <f t="shared" si="10"/>
        <v>0</v>
      </c>
      <c r="V41" s="41">
        <f t="shared" si="10"/>
        <v>0</v>
      </c>
      <c r="W41" s="41">
        <f t="shared" si="10"/>
        <v>0</v>
      </c>
      <c r="X41" s="41">
        <f t="shared" si="10"/>
        <v>0</v>
      </c>
      <c r="Y41" s="41"/>
      <c r="AA41" s="52">
        <f t="shared" ref="AA41:AA43" si="12">SUM(E41:X41)*$AA$29</f>
        <v>0</v>
      </c>
    </row>
    <row r="42" spans="1:71">
      <c r="A42" s="62">
        <f>INDEX([2]!ResApplic,MATCH($C$39,[2]APPLIC!$B$9:$B$120,0)+1,MATCH($C42,[2]APPLIC!$C$8:$F$8,0)+1)</f>
        <v>0</v>
      </c>
      <c r="B42" s="96">
        <f>VLOOKUP("Electric WH",[2]!NewSat,MATCH($C42,[2]SATS!$B$10:$F$10,0),FALSE)</f>
        <v>0.94699999999999995</v>
      </c>
      <c r="C42" s="9" t="str">
        <f>C24</f>
        <v>Multifamily - High Rise</v>
      </c>
      <c r="E42" s="41">
        <f t="shared" si="11"/>
        <v>0</v>
      </c>
      <c r="F42" s="41">
        <f t="shared" si="10"/>
        <v>0</v>
      </c>
      <c r="G42" s="41">
        <f t="shared" si="10"/>
        <v>0</v>
      </c>
      <c r="H42" s="41">
        <f t="shared" si="10"/>
        <v>0</v>
      </c>
      <c r="I42" s="41">
        <f t="shared" si="10"/>
        <v>0</v>
      </c>
      <c r="J42" s="41">
        <f t="shared" si="10"/>
        <v>0</v>
      </c>
      <c r="K42" s="41">
        <f t="shared" si="10"/>
        <v>0</v>
      </c>
      <c r="L42" s="41">
        <f t="shared" si="10"/>
        <v>0</v>
      </c>
      <c r="M42" s="41">
        <f t="shared" si="10"/>
        <v>0</v>
      </c>
      <c r="N42" s="41">
        <f t="shared" si="10"/>
        <v>0</v>
      </c>
      <c r="O42" s="41">
        <f t="shared" si="10"/>
        <v>0</v>
      </c>
      <c r="P42" s="41">
        <f t="shared" si="10"/>
        <v>0</v>
      </c>
      <c r="Q42" s="41">
        <f t="shared" si="10"/>
        <v>0</v>
      </c>
      <c r="R42" s="41">
        <f t="shared" si="10"/>
        <v>0</v>
      </c>
      <c r="S42" s="41">
        <f t="shared" si="10"/>
        <v>0</v>
      </c>
      <c r="T42" s="41">
        <f t="shared" si="10"/>
        <v>0</v>
      </c>
      <c r="U42" s="41">
        <f t="shared" si="10"/>
        <v>0</v>
      </c>
      <c r="V42" s="41">
        <f t="shared" si="10"/>
        <v>0</v>
      </c>
      <c r="W42" s="41">
        <f t="shared" si="10"/>
        <v>0</v>
      </c>
      <c r="X42" s="41">
        <f t="shared" si="10"/>
        <v>0</v>
      </c>
      <c r="Y42" s="41"/>
      <c r="AA42" s="52">
        <f t="shared" si="12"/>
        <v>0</v>
      </c>
    </row>
    <row r="43" spans="1:71">
      <c r="A43" s="62">
        <f>INDEX([2]!ResApplic,MATCH($C$39,[2]APPLIC!$B$9:$B$120,0)+1,MATCH($C43,[2]APPLIC!$C$8:$F$8,0)+1)</f>
        <v>0</v>
      </c>
      <c r="B43" s="96">
        <f>VLOOKUP("Electric WH",[2]!NewSat,MATCH($C43,[2]SATS!$B$10:$F$10,0),FALSE)</f>
        <v>0.88900000000000001</v>
      </c>
      <c r="C43" s="9" t="str">
        <f>C25</f>
        <v>Manufactured</v>
      </c>
      <c r="E43" s="41">
        <f t="shared" si="11"/>
        <v>0</v>
      </c>
      <c r="F43" s="41">
        <f t="shared" si="10"/>
        <v>0</v>
      </c>
      <c r="G43" s="41">
        <f t="shared" si="10"/>
        <v>0</v>
      </c>
      <c r="H43" s="41">
        <f t="shared" si="10"/>
        <v>0</v>
      </c>
      <c r="I43" s="41">
        <f t="shared" si="10"/>
        <v>0</v>
      </c>
      <c r="J43" s="41">
        <f t="shared" si="10"/>
        <v>0</v>
      </c>
      <c r="K43" s="41">
        <f t="shared" si="10"/>
        <v>0</v>
      </c>
      <c r="L43" s="41">
        <f t="shared" si="10"/>
        <v>0</v>
      </c>
      <c r="M43" s="41">
        <f t="shared" si="10"/>
        <v>0</v>
      </c>
      <c r="N43" s="41">
        <f t="shared" si="10"/>
        <v>0</v>
      </c>
      <c r="O43" s="41">
        <f t="shared" si="10"/>
        <v>0</v>
      </c>
      <c r="P43" s="41">
        <f t="shared" si="10"/>
        <v>0</v>
      </c>
      <c r="Q43" s="41">
        <f t="shared" si="10"/>
        <v>0</v>
      </c>
      <c r="R43" s="41">
        <f t="shared" si="10"/>
        <v>0</v>
      </c>
      <c r="S43" s="41">
        <f t="shared" si="10"/>
        <v>0</v>
      </c>
      <c r="T43" s="41">
        <f t="shared" si="10"/>
        <v>0</v>
      </c>
      <c r="U43" s="41">
        <f t="shared" si="10"/>
        <v>0</v>
      </c>
      <c r="V43" s="41">
        <f t="shared" si="10"/>
        <v>0</v>
      </c>
      <c r="W43" s="41">
        <f t="shared" si="10"/>
        <v>0</v>
      </c>
      <c r="X43" s="41">
        <f t="shared" si="10"/>
        <v>0</v>
      </c>
      <c r="Y43" s="41"/>
      <c r="AA43" s="52">
        <f t="shared" si="12"/>
        <v>0</v>
      </c>
    </row>
    <row r="44" spans="1:71">
      <c r="E44" s="41"/>
      <c r="F44" s="41"/>
      <c r="G44" s="41"/>
      <c r="H44" s="41"/>
      <c r="I44" s="41"/>
      <c r="J44" s="41"/>
      <c r="K44" s="41"/>
      <c r="L44" s="41"/>
      <c r="M44" s="41"/>
      <c r="N44" s="41"/>
      <c r="O44" s="41"/>
      <c r="P44" s="41"/>
      <c r="Q44" s="41"/>
      <c r="R44" s="41"/>
      <c r="S44" s="41"/>
      <c r="T44" s="41"/>
      <c r="U44" s="41"/>
      <c r="V44" s="41"/>
      <c r="W44" s="41"/>
      <c r="X44" s="41"/>
      <c r="Y44" s="41"/>
    </row>
    <row r="45" spans="1:71">
      <c r="E45" s="41">
        <f t="shared" ref="E45:X45" si="13">SUM(E40:E43)</f>
        <v>0</v>
      </c>
      <c r="F45" s="41">
        <f t="shared" si="13"/>
        <v>0</v>
      </c>
      <c r="G45" s="41">
        <f t="shared" si="13"/>
        <v>0</v>
      </c>
      <c r="H45" s="41">
        <f t="shared" si="13"/>
        <v>0</v>
      </c>
      <c r="I45" s="41">
        <f t="shared" si="13"/>
        <v>0</v>
      </c>
      <c r="J45" s="41">
        <f t="shared" si="13"/>
        <v>0</v>
      </c>
      <c r="K45" s="41">
        <f t="shared" si="13"/>
        <v>0</v>
      </c>
      <c r="L45" s="41">
        <f t="shared" si="13"/>
        <v>0</v>
      </c>
      <c r="M45" s="41">
        <f t="shared" si="13"/>
        <v>0</v>
      </c>
      <c r="N45" s="41">
        <f t="shared" si="13"/>
        <v>0</v>
      </c>
      <c r="O45" s="41">
        <f t="shared" si="13"/>
        <v>0</v>
      </c>
      <c r="P45" s="41">
        <f t="shared" si="13"/>
        <v>0</v>
      </c>
      <c r="Q45" s="41">
        <f t="shared" si="13"/>
        <v>0</v>
      </c>
      <c r="R45" s="41">
        <f t="shared" si="13"/>
        <v>0</v>
      </c>
      <c r="S45" s="41">
        <f t="shared" si="13"/>
        <v>0</v>
      </c>
      <c r="T45" s="41">
        <f t="shared" si="13"/>
        <v>0</v>
      </c>
      <c r="U45" s="41">
        <f t="shared" si="13"/>
        <v>0</v>
      </c>
      <c r="V45" s="41">
        <f t="shared" si="13"/>
        <v>0</v>
      </c>
      <c r="W45" s="41">
        <f t="shared" si="13"/>
        <v>0</v>
      </c>
      <c r="X45" s="41">
        <f t="shared" si="13"/>
        <v>0</v>
      </c>
      <c r="Y45" s="41"/>
      <c r="AA45" s="52">
        <f>SUM(AA40:AA43)</f>
        <v>0</v>
      </c>
    </row>
    <row r="47" spans="1:71" ht="15">
      <c r="A47" s="61" t="str">
        <f>CONCATENATE("# UNITS ACHIEVABLE BY YEAR FOR MEASURE - ",C48)</f>
        <v># UNITS ACHIEVABLE BY YEAR FOR MEASURE - Solar Water Heater - Retro</v>
      </c>
      <c r="E47" s="70" t="s">
        <v>62</v>
      </c>
      <c r="F47"/>
    </row>
    <row r="48" spans="1:71" ht="15">
      <c r="C48" s="70" t="str">
        <f>C30</f>
        <v>Solar Water Heater - Retro</v>
      </c>
      <c r="E48" s="74">
        <f>VLOOKUP($C$48,[2]ACHIEV!$B$10:$X$76,MATCH(E$11,$E$11:$Y$11,0)+2,FALSE)</f>
        <v>0.01</v>
      </c>
      <c r="F48" s="74">
        <f>VLOOKUP($C$48,[2]ACHIEV!$B$10:$X$76,MATCH(F$11,$E$11:$Y$11,0)+2,FALSE)</f>
        <v>1.9799999999999998E-2</v>
      </c>
      <c r="G48" s="74">
        <f>VLOOKUP($C$48,[2]ACHIEV!$B$10:$X$76,MATCH(G$11,$E$11:$Y$11,0)+2,FALSE)</f>
        <v>2.9106E-2</v>
      </c>
      <c r="H48" s="74">
        <f>VLOOKUP($C$48,[2]ACHIEV!$B$10:$X$76,MATCH(H$11,$E$11:$Y$11,0)+2,FALSE)</f>
        <v>3.7643759999999998E-2</v>
      </c>
      <c r="I48" s="74">
        <f>VLOOKUP($C$48,[2]ACHIEV!$B$10:$X$76,MATCH(I$11,$E$11:$Y$11,0)+2,FALSE)</f>
        <v>4.5172511999999984E-2</v>
      </c>
      <c r="J48" s="74">
        <f>VLOOKUP($C$48,[2]ACHIEV!$B$10:$X$76,MATCH(J$11,$E$11:$Y$11,0)+2,FALSE)</f>
        <v>4.8635737920000005E-2</v>
      </c>
      <c r="K48" s="74">
        <f>VLOOKUP($C$48,[2]ACHIEV!$B$10:$X$76,MATCH(K$11,$E$11:$Y$11,0)+2,FALSE)</f>
        <v>4.587971277120001E-2</v>
      </c>
      <c r="L48" s="74">
        <f>VLOOKUP($C$48,[2]ACHIEV!$B$10:$X$76,MATCH(L$11,$E$11:$Y$11,0)+2,FALSE)</f>
        <v>4.3279862380832007E-2</v>
      </c>
      <c r="M48" s="74">
        <f>VLOOKUP($C$48,[2]ACHIEV!$B$10:$X$76,MATCH(M$11,$E$11:$Y$11,0)+2,FALSE)</f>
        <v>4.0827336845918161E-2</v>
      </c>
      <c r="N48" s="74">
        <f>VLOOKUP($C$48,[2]ACHIEV!$B$10:$X$76,MATCH(N$11,$E$11:$Y$11,0)+2,FALSE)</f>
        <v>3.8513787757982809E-2</v>
      </c>
      <c r="O48" s="74">
        <f>VLOOKUP($C$48,[2]ACHIEV!$B$10:$X$76,MATCH(O$11,$E$11:$Y$11,0)+2,FALSE)</f>
        <v>3.6331339785030448E-2</v>
      </c>
      <c r="P48" s="74">
        <f>VLOOKUP($C$48,[2]ACHIEV!$B$10:$X$76,MATCH(P$11,$E$11:$Y$11,0)+2,FALSE)</f>
        <v>3.4272563863878724E-2</v>
      </c>
      <c r="Q48" s="74">
        <f>VLOOKUP($C$48,[2]ACHIEV!$B$10:$X$76,MATCH(Q$11,$E$11:$Y$11,0)+2,FALSE)</f>
        <v>3.2330451911592284E-2</v>
      </c>
      <c r="R48" s="74">
        <f>VLOOKUP($C$48,[2]ACHIEV!$B$10:$X$76,MATCH(R$11,$E$11:$Y$11,0)+2,FALSE)</f>
        <v>3.0498392969935395E-2</v>
      </c>
      <c r="S48" s="74">
        <f>VLOOKUP($C$48,[2]ACHIEV!$B$10:$X$76,MATCH(S$11,$E$11:$Y$11,0)+2,FALSE)</f>
        <v>2.8770150701639075E-2</v>
      </c>
      <c r="T48" s="74">
        <f>VLOOKUP($C$48,[2]ACHIEV!$B$10:$X$76,MATCH(T$11,$E$11:$Y$11,0)+2,FALSE)</f>
        <v>2.7139842161879479E-2</v>
      </c>
      <c r="U48" s="74">
        <f>VLOOKUP($C$48,[2]ACHIEV!$B$10:$X$76,MATCH(U$11,$E$11:$Y$11,0)+2,FALSE)</f>
        <v>2.5601917772706373E-2</v>
      </c>
      <c r="V48" s="74">
        <f>VLOOKUP($C$48,[2]ACHIEV!$B$10:$X$76,MATCH(V$11,$E$11:$Y$11,0)+2,FALSE)</f>
        <v>2.4151142432252914E-2</v>
      </c>
      <c r="W48" s="74">
        <f>VLOOKUP($C$48,[2]ACHIEV!$B$10:$X$76,MATCH(W$11,$E$11:$Y$11,0)+2,FALSE)</f>
        <v>2.2782577694425266E-2</v>
      </c>
      <c r="X48" s="74">
        <f>VLOOKUP($C$48,[2]ACHIEV!$B$10:$X$76,MATCH(X$11,$E$11:$Y$11,0)+2,FALSE)</f>
        <v>2.1491564958407872E-2</v>
      </c>
      <c r="Y48" s="74"/>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C49" s="9" t="str">
        <f>C13</f>
        <v>Single Family</v>
      </c>
      <c r="E49" s="41">
        <f>(E31+E40)*E$48*$AA$29</f>
        <v>4879.7555700602043</v>
      </c>
      <c r="F49" s="41">
        <f t="shared" ref="F49:X49" si="14">(F31+F40)*F$48*$AA$29</f>
        <v>9634.7723449186597</v>
      </c>
      <c r="G49" s="41">
        <f t="shared" si="14"/>
        <v>14115.69020767081</v>
      </c>
      <c r="H49" s="41">
        <f t="shared" si="14"/>
        <v>18180.367997869282</v>
      </c>
      <c r="I49" s="41">
        <f t="shared" si="14"/>
        <v>21702.705906091393</v>
      </c>
      <c r="J49" s="41">
        <f t="shared" si="14"/>
        <v>23216.975610608573</v>
      </c>
      <c r="K49" s="41">
        <f t="shared" si="14"/>
        <v>21735.965694880182</v>
      </c>
      <c r="L49" s="41">
        <f t="shared" si="14"/>
        <v>20330.712108036627</v>
      </c>
      <c r="M49" s="41">
        <f t="shared" si="14"/>
        <v>19006.373916949819</v>
      </c>
      <c r="N49" s="41">
        <f t="shared" si="14"/>
        <v>17767.487939164635</v>
      </c>
      <c r="O49" s="41">
        <f t="shared" si="14"/>
        <v>16616.18502400201</v>
      </c>
      <c r="P49" s="41">
        <f t="shared" si="14"/>
        <v>15551.367230997914</v>
      </c>
      <c r="Q49" s="41">
        <f t="shared" si="14"/>
        <v>14568.880502805394</v>
      </c>
      <c r="R49" s="41">
        <f t="shared" si="14"/>
        <v>13505.00249109013</v>
      </c>
      <c r="S49" s="41">
        <f t="shared" si="14"/>
        <v>12676.891917749792</v>
      </c>
      <c r="T49" s="41">
        <f t="shared" si="14"/>
        <v>11913.447629737697</v>
      </c>
      <c r="U49" s="41">
        <f t="shared" si="14"/>
        <v>11203.097298237777</v>
      </c>
      <c r="V49" s="41">
        <f t="shared" si="14"/>
        <v>10541.69295535224</v>
      </c>
      <c r="W49" s="41">
        <f t="shared" si="14"/>
        <v>9926.4877362434436</v>
      </c>
      <c r="X49" s="41">
        <f t="shared" si="14"/>
        <v>9348.6581225317459</v>
      </c>
      <c r="Y49" s="41"/>
      <c r="AA49" s="41">
        <f>SUM(E49:Y49)</f>
        <v>296422.51820499834</v>
      </c>
      <c r="AB49" s="9">
        <f>AA49/(AA40+AA31)</f>
        <v>0.68144365978936017</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C50" s="9" t="str">
        <f>C14</f>
        <v>Multifamily - Low Rise</v>
      </c>
      <c r="E50" s="41">
        <f ca="1">(E32+E41)*E$48*$AA$29</f>
        <v>1863.9487724793892</v>
      </c>
      <c r="F50" s="41">
        <f t="shared" ref="F50:X52" ca="1" si="15">(F32+F41)*F$48*$AA$29</f>
        <v>3682.2378471287084</v>
      </c>
      <c r="G50" s="41">
        <f t="shared" ca="1" si="15"/>
        <v>5400.5979490875579</v>
      </c>
      <c r="H50" s="41">
        <f t="shared" ca="1" si="15"/>
        <v>6968.9121997647571</v>
      </c>
      <c r="I50" s="41">
        <f t="shared" ca="1" si="15"/>
        <v>8343.7044837836165</v>
      </c>
      <c r="J50" s="41">
        <f t="shared" ca="1" si="15"/>
        <v>8962.9888556131227</v>
      </c>
      <c r="K50" s="41">
        <f t="shared" ca="1" si="15"/>
        <v>8435.8861935652294</v>
      </c>
      <c r="L50" s="41">
        <f t="shared" ca="1" si="15"/>
        <v>7939.7818090800638</v>
      </c>
      <c r="M50" s="41">
        <f t="shared" ca="1" si="15"/>
        <v>7472.8527305032594</v>
      </c>
      <c r="N50" s="41">
        <f t="shared" ca="1" si="15"/>
        <v>7033.383192964634</v>
      </c>
      <c r="O50" s="41">
        <f t="shared" ca="1" si="15"/>
        <v>6619.7583336753278</v>
      </c>
      <c r="P50" s="41">
        <f t="shared" ca="1" si="15"/>
        <v>6230.458257997022</v>
      </c>
      <c r="Q50" s="41">
        <f t="shared" ca="1" si="15"/>
        <v>5864.0524544784976</v>
      </c>
      <c r="R50" s="41">
        <f t="shared" ca="1" si="15"/>
        <v>5519.1945383372358</v>
      </c>
      <c r="S50" s="41">
        <f t="shared" ca="1" si="15"/>
        <v>5194.6173040705835</v>
      </c>
      <c r="T50" s="41">
        <f t="shared" ca="1" si="15"/>
        <v>4889.1280690169224</v>
      </c>
      <c r="U50" s="41">
        <f t="shared" ca="1" si="15"/>
        <v>4601.6042907565152</v>
      </c>
      <c r="V50" s="41">
        <f t="shared" ca="1" si="15"/>
        <v>4330.9894422475891</v>
      </c>
      <c r="W50" s="41">
        <f t="shared" ca="1" si="15"/>
        <v>4076.2891295410363</v>
      </c>
      <c r="X50" s="41">
        <f t="shared" ca="1" si="15"/>
        <v>3836.5674378073313</v>
      </c>
      <c r="Y50" s="41"/>
      <c r="AA50" s="41">
        <f t="shared" ref="AA50:AA54" ca="1" si="16">SUM(E50:Y50)</f>
        <v>117266.9532918984</v>
      </c>
      <c r="AB50" s="9">
        <f t="shared" ref="AB50:AB52" ca="1" si="17">AA50/(AA41+AA32)</f>
        <v>0.65690239647860482</v>
      </c>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9" t="str">
        <f>C15</f>
        <v>Multifamily - High Rise</v>
      </c>
      <c r="E51" s="41">
        <f t="shared" ref="E51:T52" ca="1" si="18">(E33+E42)*E$48*$AA$29</f>
        <v>0</v>
      </c>
      <c r="F51" s="41">
        <f t="shared" ca="1" si="18"/>
        <v>0</v>
      </c>
      <c r="G51" s="41">
        <f t="shared" ca="1" si="18"/>
        <v>0</v>
      </c>
      <c r="H51" s="41">
        <f t="shared" ca="1" si="18"/>
        <v>0</v>
      </c>
      <c r="I51" s="41">
        <f t="shared" ca="1" si="18"/>
        <v>0</v>
      </c>
      <c r="J51" s="41">
        <f t="shared" ca="1" si="18"/>
        <v>0</v>
      </c>
      <c r="K51" s="41">
        <f t="shared" ca="1" si="18"/>
        <v>0</v>
      </c>
      <c r="L51" s="41">
        <f t="shared" ca="1" si="18"/>
        <v>0</v>
      </c>
      <c r="M51" s="41">
        <f t="shared" ca="1" si="18"/>
        <v>0</v>
      </c>
      <c r="N51" s="41">
        <f t="shared" ca="1" si="18"/>
        <v>0</v>
      </c>
      <c r="O51" s="41">
        <f t="shared" ca="1" si="18"/>
        <v>0</v>
      </c>
      <c r="P51" s="41">
        <f t="shared" ca="1" si="18"/>
        <v>0</v>
      </c>
      <c r="Q51" s="41">
        <f t="shared" ca="1" si="18"/>
        <v>0</v>
      </c>
      <c r="R51" s="41">
        <f t="shared" ca="1" si="18"/>
        <v>0</v>
      </c>
      <c r="S51" s="41">
        <f t="shared" ca="1" si="18"/>
        <v>0</v>
      </c>
      <c r="T51" s="41">
        <f t="shared" ca="1" si="18"/>
        <v>0</v>
      </c>
      <c r="U51" s="41">
        <f t="shared" ca="1" si="15"/>
        <v>0</v>
      </c>
      <c r="V51" s="41">
        <f t="shared" ca="1" si="15"/>
        <v>0</v>
      </c>
      <c r="W51" s="41">
        <f t="shared" ca="1" si="15"/>
        <v>0</v>
      </c>
      <c r="X51" s="41">
        <f t="shared" ca="1" si="15"/>
        <v>0</v>
      </c>
      <c r="Y51" s="41"/>
      <c r="AA51" s="41">
        <f t="shared" ca="1" si="16"/>
        <v>0</v>
      </c>
      <c r="AB51" s="9" t="e">
        <f t="shared" ca="1" si="17"/>
        <v>#DIV/0!</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C52" s="9" t="str">
        <f>C16</f>
        <v>Manufactured</v>
      </c>
      <c r="E52" s="41">
        <f t="shared" ca="1" si="18"/>
        <v>0</v>
      </c>
      <c r="F52" s="41">
        <f t="shared" ca="1" si="15"/>
        <v>0</v>
      </c>
      <c r="G52" s="41">
        <f t="shared" ca="1" si="15"/>
        <v>0</v>
      </c>
      <c r="H52" s="41">
        <f t="shared" ca="1" si="15"/>
        <v>0</v>
      </c>
      <c r="I52" s="41">
        <f t="shared" ca="1" si="15"/>
        <v>0</v>
      </c>
      <c r="J52" s="41">
        <f t="shared" ca="1" si="15"/>
        <v>0</v>
      </c>
      <c r="K52" s="41">
        <f t="shared" ca="1" si="15"/>
        <v>0</v>
      </c>
      <c r="L52" s="41">
        <f t="shared" ca="1" si="15"/>
        <v>0</v>
      </c>
      <c r="M52" s="41">
        <f t="shared" ca="1" si="15"/>
        <v>0</v>
      </c>
      <c r="N52" s="41">
        <f t="shared" ca="1" si="15"/>
        <v>0</v>
      </c>
      <c r="O52" s="41">
        <f t="shared" ca="1" si="15"/>
        <v>0</v>
      </c>
      <c r="P52" s="41">
        <f t="shared" ca="1" si="15"/>
        <v>0</v>
      </c>
      <c r="Q52" s="41">
        <f t="shared" ca="1" si="15"/>
        <v>0</v>
      </c>
      <c r="R52" s="41">
        <f t="shared" ca="1" si="15"/>
        <v>0</v>
      </c>
      <c r="S52" s="41">
        <f t="shared" ca="1" si="15"/>
        <v>0</v>
      </c>
      <c r="T52" s="41">
        <f t="shared" ca="1" si="15"/>
        <v>0</v>
      </c>
      <c r="U52" s="41">
        <f t="shared" ca="1" si="15"/>
        <v>0</v>
      </c>
      <c r="V52" s="41">
        <f t="shared" ca="1" si="15"/>
        <v>0</v>
      </c>
      <c r="W52" s="41">
        <f t="shared" ca="1" si="15"/>
        <v>0</v>
      </c>
      <c r="X52" s="41">
        <f t="shared" ca="1" si="15"/>
        <v>0</v>
      </c>
      <c r="Y52" s="41"/>
      <c r="AA52" s="41">
        <f t="shared" ca="1" si="16"/>
        <v>0</v>
      </c>
      <c r="AB52" s="9" t="e">
        <f t="shared" ca="1" si="17"/>
        <v>#DIV/0!</v>
      </c>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E53" s="41"/>
      <c r="F53" s="41"/>
      <c r="G53" s="41"/>
      <c r="H53" s="41"/>
      <c r="I53" s="41"/>
      <c r="J53" s="41"/>
      <c r="K53" s="41"/>
      <c r="L53" s="41"/>
      <c r="M53" s="41"/>
      <c r="N53" s="41"/>
      <c r="O53" s="41"/>
      <c r="P53" s="41"/>
      <c r="Q53" s="41"/>
      <c r="R53" s="41"/>
      <c r="S53" s="41"/>
      <c r="T53" s="41"/>
      <c r="U53" s="41"/>
      <c r="V53" s="41"/>
      <c r="W53" s="41"/>
      <c r="X53" s="41"/>
      <c r="Y53" s="41"/>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C54" s="9" t="s">
        <v>63</v>
      </c>
      <c r="E54" s="41">
        <f t="shared" ref="E54:X54" ca="1" si="19">SUM(E49:E52)</f>
        <v>6743.7043425395932</v>
      </c>
      <c r="F54" s="41">
        <f t="shared" ca="1" si="19"/>
        <v>13317.010192047368</v>
      </c>
      <c r="G54" s="41">
        <f t="shared" ca="1" si="19"/>
        <v>19516.288156758368</v>
      </c>
      <c r="H54" s="41">
        <f t="shared" ca="1" si="19"/>
        <v>25149.280197634038</v>
      </c>
      <c r="I54" s="41">
        <f t="shared" ca="1" si="19"/>
        <v>30046.410389875011</v>
      </c>
      <c r="J54" s="41">
        <f t="shared" ca="1" si="19"/>
        <v>32179.964466221696</v>
      </c>
      <c r="K54" s="41">
        <f t="shared" ca="1" si="19"/>
        <v>30171.85188844541</v>
      </c>
      <c r="L54" s="41">
        <f t="shared" ca="1" si="19"/>
        <v>28270.493917116692</v>
      </c>
      <c r="M54" s="41">
        <f t="shared" ca="1" si="19"/>
        <v>26479.226647453077</v>
      </c>
      <c r="N54" s="41">
        <f t="shared" ca="1" si="19"/>
        <v>24800.871132129269</v>
      </c>
      <c r="O54" s="41">
        <f t="shared" ca="1" si="19"/>
        <v>23235.943357677337</v>
      </c>
      <c r="P54" s="41">
        <f t="shared" ca="1" si="19"/>
        <v>21781.825488994935</v>
      </c>
      <c r="Q54" s="41">
        <f t="shared" ca="1" si="19"/>
        <v>20432.932957283891</v>
      </c>
      <c r="R54" s="41">
        <f t="shared" ca="1" si="19"/>
        <v>19024.197029427367</v>
      </c>
      <c r="S54" s="41">
        <f t="shared" ca="1" si="19"/>
        <v>17871.509221820375</v>
      </c>
      <c r="T54" s="41">
        <f t="shared" ca="1" si="19"/>
        <v>16802.575698754619</v>
      </c>
      <c r="U54" s="41">
        <f t="shared" ca="1" si="19"/>
        <v>15804.701588994292</v>
      </c>
      <c r="V54" s="41">
        <f t="shared" ca="1" si="19"/>
        <v>14872.68239759983</v>
      </c>
      <c r="W54" s="41">
        <f t="shared" ca="1" si="19"/>
        <v>14002.776865784479</v>
      </c>
      <c r="X54" s="41">
        <f t="shared" ca="1" si="19"/>
        <v>13185.225560339077</v>
      </c>
      <c r="Y54" s="41"/>
      <c r="AA54" s="41">
        <f t="shared" ca="1" si="16"/>
        <v>413689.47149689676</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1:80">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80">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80" ht="15">
      <c r="A58" s="61" t="s">
        <v>64</v>
      </c>
      <c r="C58" s="70" t="str">
        <f>C8</f>
        <v>Solar Water Heater</v>
      </c>
      <c r="D58" s="70"/>
      <c r="E58" s="9" t="s">
        <v>173</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70" t="s">
        <v>65</v>
      </c>
      <c r="B59" s="70" t="s">
        <v>176</v>
      </c>
      <c r="C59" s="70">
        <v>1</v>
      </c>
      <c r="D59" s="70"/>
      <c r="E59" s="64">
        <f t="shared" ref="E59:X59" si="20">E11</f>
        <v>2016</v>
      </c>
      <c r="F59" s="65">
        <f t="shared" si="20"/>
        <v>2017</v>
      </c>
      <c r="G59" s="65">
        <f t="shared" si="20"/>
        <v>2018</v>
      </c>
      <c r="H59" s="65">
        <f t="shared" si="20"/>
        <v>2019</v>
      </c>
      <c r="I59" s="65">
        <f t="shared" si="20"/>
        <v>2020</v>
      </c>
      <c r="J59" s="65">
        <f t="shared" si="20"/>
        <v>2021</v>
      </c>
      <c r="K59" s="65">
        <f t="shared" si="20"/>
        <v>2022</v>
      </c>
      <c r="L59" s="65">
        <f t="shared" si="20"/>
        <v>2023</v>
      </c>
      <c r="M59" s="65">
        <f t="shared" si="20"/>
        <v>2024</v>
      </c>
      <c r="N59" s="65">
        <f t="shared" si="20"/>
        <v>2025</v>
      </c>
      <c r="O59" s="65">
        <f t="shared" si="20"/>
        <v>2026</v>
      </c>
      <c r="P59" s="65">
        <f t="shared" si="20"/>
        <v>2027</v>
      </c>
      <c r="Q59" s="65">
        <f t="shared" si="20"/>
        <v>2028</v>
      </c>
      <c r="R59" s="65">
        <f t="shared" si="20"/>
        <v>2029</v>
      </c>
      <c r="S59" s="65">
        <f t="shared" si="20"/>
        <v>2030</v>
      </c>
      <c r="T59" s="65">
        <f t="shared" si="20"/>
        <v>2031</v>
      </c>
      <c r="U59" s="65">
        <f t="shared" si="20"/>
        <v>2032</v>
      </c>
      <c r="V59" s="65">
        <f t="shared" si="20"/>
        <v>2033</v>
      </c>
      <c r="W59" s="65">
        <f t="shared" si="20"/>
        <v>2034</v>
      </c>
      <c r="X59" s="65">
        <f t="shared" si="20"/>
        <v>2035</v>
      </c>
      <c r="Y59" s="66" t="s">
        <v>61</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70" t="s">
        <v>46</v>
      </c>
      <c r="B60" s="70" t="s">
        <v>66</v>
      </c>
      <c r="C60" s="70" t="s">
        <v>67</v>
      </c>
      <c r="D60" s="70" t="s">
        <v>68</v>
      </c>
      <c r="E60" s="67" t="str">
        <f>CONCATENATE("aMW_",E$11)</f>
        <v>aMW_2016</v>
      </c>
      <c r="F60" s="68" t="str">
        <f t="shared" ref="F60:X60" si="21">CONCATENATE("aMW_",F$11)</f>
        <v>aMW_2017</v>
      </c>
      <c r="G60" s="68" t="str">
        <f t="shared" si="21"/>
        <v>aMW_2018</v>
      </c>
      <c r="H60" s="68" t="str">
        <f t="shared" si="21"/>
        <v>aMW_2019</v>
      </c>
      <c r="I60" s="68" t="str">
        <f t="shared" si="21"/>
        <v>aMW_2020</v>
      </c>
      <c r="J60" s="68" t="str">
        <f t="shared" si="21"/>
        <v>aMW_2021</v>
      </c>
      <c r="K60" s="68" t="str">
        <f t="shared" si="21"/>
        <v>aMW_2022</v>
      </c>
      <c r="L60" s="68" t="str">
        <f t="shared" si="21"/>
        <v>aMW_2023</v>
      </c>
      <c r="M60" s="68" t="str">
        <f t="shared" si="21"/>
        <v>aMW_2024</v>
      </c>
      <c r="N60" s="68" t="str">
        <f t="shared" si="21"/>
        <v>aMW_2025</v>
      </c>
      <c r="O60" s="68" t="str">
        <f t="shared" si="21"/>
        <v>aMW_2026</v>
      </c>
      <c r="P60" s="68" t="str">
        <f t="shared" si="21"/>
        <v>aMW_2027</v>
      </c>
      <c r="Q60" s="68" t="str">
        <f t="shared" si="21"/>
        <v>aMW_2028</v>
      </c>
      <c r="R60" s="68" t="str">
        <f t="shared" si="21"/>
        <v>aMW_2029</v>
      </c>
      <c r="S60" s="68" t="str">
        <f t="shared" si="21"/>
        <v>aMW_2030</v>
      </c>
      <c r="T60" s="68" t="str">
        <f t="shared" si="21"/>
        <v>aMW_2031</v>
      </c>
      <c r="U60" s="68" t="str">
        <f t="shared" si="21"/>
        <v>aMW_2032</v>
      </c>
      <c r="V60" s="68" t="str">
        <f t="shared" si="21"/>
        <v>aMW_2033</v>
      </c>
      <c r="W60" s="68" t="str">
        <f t="shared" si="21"/>
        <v>aMW_2034</v>
      </c>
      <c r="X60" s="68" t="str">
        <f t="shared" si="21"/>
        <v>aMW_2035</v>
      </c>
      <c r="Y60" s="69" t="s">
        <v>61</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75">
        <f t="shared" ref="A61:A68" si="22">VLOOKUP($D61,MeasureOutput,3,FALSE)</f>
        <v>1143.7735891348643</v>
      </c>
      <c r="B61" s="75">
        <f t="shared" ref="B61:B68" si="23">VLOOKUP($D61,MeasureOutput,11,FALSE)</f>
        <v>706.87339201859641</v>
      </c>
      <c r="C61" s="9" t="str">
        <f>C13</f>
        <v>Single Family</v>
      </c>
      <c r="D61" t="s">
        <v>361</v>
      </c>
      <c r="E61" s="36">
        <f>VLOOKUP($C61,$C$49:$Y$52,E$39,FALSE)*$C$59*$A61/8760/1000*VLOOKUP(1*RIGHT($D61,1),'PNW Solar Zones'!$A$2:$D$6,4,FALSE)</f>
        <v>0.18856300427979383</v>
      </c>
      <c r="F61" s="36">
        <f>VLOOKUP($C61,$C$49:$Y$52,F$39,FALSE)*$C$59*$A61/8760/1000*VLOOKUP(1*RIGHT($D61,1),'PNW Solar Zones'!$A$2:$D$6,4,FALSE)</f>
        <v>0.37230586508400093</v>
      </c>
      <c r="G61" s="36">
        <f>VLOOKUP($C61,$C$49:$Y$52,G$39,FALSE)*$C$59*$A61/8760/1000*VLOOKUP(1*RIGHT($D61,1),'PNW Solar Zones'!$A$2:$D$6,4,FALSE)</f>
        <v>0.54545702439936683</v>
      </c>
      <c r="H61" s="36">
        <f>VLOOKUP($C61,$C$49:$Y$52,H$39,FALSE)*$C$59*$A61/8760/1000*VLOOKUP(1*RIGHT($D61,1),'PNW Solar Zones'!$A$2:$D$6,4,FALSE)</f>
        <v>0.7025238783728992</v>
      </c>
      <c r="I61" s="36">
        <f>VLOOKUP($C61,$C$49:$Y$52,I$39,FALSE)*$C$59*$A61/8760/1000*VLOOKUP(1*RIGHT($D61,1),'PNW Solar Zones'!$A$2:$D$6,4,FALSE)</f>
        <v>0.8386336913598581</v>
      </c>
      <c r="J61" s="36">
        <f>VLOOKUP($C61,$C$49:$Y$52,J$39,FALSE)*$C$59*$A61/8760/1000*VLOOKUP(1*RIGHT($D61,1),'PNW Solar Zones'!$A$2:$D$6,4,FALSE)</f>
        <v>0.89714794287801602</v>
      </c>
      <c r="K61" s="36">
        <f>VLOOKUP($C61,$C$49:$Y$52,K$39,FALSE)*$C$59*$A61/8760/1000*VLOOKUP(1*RIGHT($D61,1),'PNW Solar Zones'!$A$2:$D$6,4,FALSE)</f>
        <v>0.83991891263901497</v>
      </c>
      <c r="L61" s="36">
        <f>VLOOKUP($C61,$C$49:$Y$52,L$39,FALSE)*$C$59*$A61/8760/1000*VLOOKUP(1*RIGHT($D61,1),'PNW Solar Zones'!$A$2:$D$6,4,FALSE)</f>
        <v>0.7856172505361102</v>
      </c>
      <c r="M61" s="36">
        <f>VLOOKUP($C61,$C$49:$Y$52,M$39,FALSE)*$C$59*$A61/8760/1000*VLOOKUP(1*RIGHT($D61,1),'PNW Solar Zones'!$A$2:$D$6,4,FALSE)</f>
        <v>0.73444231269168958</v>
      </c>
      <c r="N61" s="36">
        <f>VLOOKUP($C61,$C$49:$Y$52,N$39,FALSE)*$C$59*$A61/8760/1000*VLOOKUP(1*RIGHT($D61,1),'PNW Solar Zones'!$A$2:$D$6,4,FALSE)</f>
        <v>0.68656941033473784</v>
      </c>
      <c r="O61" s="36">
        <f>VLOOKUP($C61,$C$49:$Y$52,O$39,FALSE)*$C$59*$A61/8760/1000*VLOOKUP(1*RIGHT($D61,1),'PNW Solar Zones'!$A$2:$D$6,4,FALSE)</f>
        <v>0.64208088352181147</v>
      </c>
      <c r="P61" s="36">
        <f>VLOOKUP($C61,$C$49:$Y$52,P$39,FALSE)*$C$59*$A61/8760/1000*VLOOKUP(1*RIGHT($D61,1),'PNW Solar Zones'!$A$2:$D$6,4,FALSE)</f>
        <v>0.60093430575235285</v>
      </c>
      <c r="Q61" s="36">
        <f>VLOOKUP($C61,$C$49:$Y$52,Q$39,FALSE)*$C$59*$A61/8760/1000*VLOOKUP(1*RIGHT($D61,1),'PNW Solar Zones'!$A$2:$D$6,4,FALSE)</f>
        <v>0.56296915637690548</v>
      </c>
      <c r="R61" s="36">
        <f>VLOOKUP($C61,$C$49:$Y$52,R$39,FALSE)*$C$59*$A61/8760/1000*VLOOKUP(1*RIGHT($D61,1),'PNW Solar Zones'!$A$2:$D$6,4,FALSE)</f>
        <v>0.52185889353770165</v>
      </c>
      <c r="S61" s="36">
        <f>VLOOKUP($C61,$C$49:$Y$52,S$39,FALSE)*$C$59*$A61/8760/1000*VLOOKUP(1*RIGHT($D61,1),'PNW Solar Zones'!$A$2:$D$6,4,FALSE)</f>
        <v>0.48985913138916631</v>
      </c>
      <c r="T61" s="36">
        <f>VLOOKUP($C61,$C$49:$Y$52,T$39,FALSE)*$C$59*$A61/8760/1000*VLOOKUP(1*RIGHT($D61,1),'PNW Solar Zones'!$A$2:$D$6,4,FALSE)</f>
        <v>0.46035819707371389</v>
      </c>
      <c r="U61" s="36">
        <f>VLOOKUP($C61,$C$49:$Y$52,U$39,FALSE)*$C$59*$A61/8760/1000*VLOOKUP(1*RIGHT($D61,1),'PNW Solar Zones'!$A$2:$D$6,4,FALSE)</f>
        <v>0.43290891387178504</v>
      </c>
      <c r="V61" s="36">
        <f>VLOOKUP($C61,$C$49:$Y$52,V$39,FALSE)*$C$59*$A61/8760/1000*VLOOKUP(1*RIGHT($D61,1),'PNW Solar Zones'!$A$2:$D$6,4,FALSE)</f>
        <v>0.40735099644178135</v>
      </c>
      <c r="W61" s="36">
        <f>VLOOKUP($C61,$C$49:$Y$52,W$39,FALSE)*$C$59*$A61/8760/1000*VLOOKUP(1*RIGHT($D61,1),'PNW Solar Zones'!$A$2:$D$6,4,FALSE)</f>
        <v>0.38357830071998883</v>
      </c>
      <c r="X61" s="36">
        <f>VLOOKUP($C61,$C$49:$Y$52,X$39,FALSE)*$C$59*$A61/8760/1000*VLOOKUP(1*RIGHT($D61,1),'PNW Solar Zones'!$A$2:$D$6,4,FALSE)</f>
        <v>0.3612498692321866</v>
      </c>
      <c r="Y61" s="53">
        <f>(VLOOKUP($C61,$C$31:$AA$34,X$30+3,FALSE)+VLOOKUP($C61,$C$40:$AA$43,$X$39+3,FALSE))*$C$59*$A61/8760/1000*VLOOKUP(1*RIGHT($D61,1),'PNW Solar Zones'!$A$2:$D$6,4,FALSE)</f>
        <v>16.808914098685001</v>
      </c>
      <c r="AA61" s="36">
        <f>SUM(E61:X61)</f>
        <v>11.454327940492885</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75">
        <f t="shared" si="22"/>
        <v>1203.9721990893308</v>
      </c>
      <c r="B62" s="75">
        <f t="shared" si="23"/>
        <v>671.05544851452532</v>
      </c>
      <c r="C62" s="9" t="s">
        <v>48</v>
      </c>
      <c r="D62" t="s">
        <v>362</v>
      </c>
      <c r="E62" s="36">
        <f>VLOOKUP($C62,$C$49:$Y$52,E$39,FALSE)*$C$59*$A62/8760/1000*VLOOKUP(1*RIGHT($D62,1),'PNW Solar Zones'!$A$2:$D$6,4,FALSE)</f>
        <v>0.24599916745792946</v>
      </c>
      <c r="F62" s="36">
        <f>VLOOKUP($C62,$C$49:$Y$52,F$39,FALSE)*$C$59*$A62/8760/1000*VLOOKUP(1*RIGHT($D62,1),'PNW Solar Zones'!$A$2:$D$6,4,FALSE)</f>
        <v>0.48570997900770496</v>
      </c>
      <c r="G62" s="36">
        <f>VLOOKUP($C62,$C$49:$Y$52,G$39,FALSE)*$C$59*$A62/8760/1000*VLOOKUP(1*RIGHT($D62,1),'PNW Solar Zones'!$A$2:$D$6,4,FALSE)</f>
        <v>0.71160286398079242</v>
      </c>
      <c r="H62" s="36">
        <f>VLOOKUP($C62,$C$49:$Y$52,H$39,FALSE)*$C$59*$A62/8760/1000*VLOOKUP(1*RIGHT($D62,1),'PNW Solar Zones'!$A$2:$D$6,4,FALSE)</f>
        <v>0.91651217511688787</v>
      </c>
      <c r="I62" s="36">
        <f>VLOOKUP($C62,$C$49:$Y$52,I$39,FALSE)*$C$59*$A62/8760/1000*VLOOKUP(1*RIGHT($D62,1),'PNW Solar Zones'!$A$2:$D$6,4,FALSE)</f>
        <v>1.0940809447996394</v>
      </c>
      <c r="J62" s="36">
        <f>VLOOKUP($C62,$C$49:$Y$52,J$39,FALSE)*$C$59*$A62/8760/1000*VLOOKUP(1*RIGHT($D62,1),'PNW Solar Zones'!$A$2:$D$6,4,FALSE)</f>
        <v>1.170418597632811</v>
      </c>
      <c r="K62" s="36">
        <f>VLOOKUP($C62,$C$49:$Y$52,K$39,FALSE)*$C$59*$A62/8760/1000*VLOOKUP(1*RIGHT($D62,1),'PNW Solar Zones'!$A$2:$D$6,4,FALSE)</f>
        <v>1.0957576436085035</v>
      </c>
      <c r="L62" s="36">
        <f>VLOOKUP($C62,$C$49:$Y$52,L$39,FALSE)*$C$59*$A62/8760/1000*VLOOKUP(1*RIGHT($D62,1),'PNW Solar Zones'!$A$2:$D$6,4,FALSE)</f>
        <v>1.0249157320685534</v>
      </c>
      <c r="M62" s="36">
        <f>VLOOKUP($C62,$C$49:$Y$52,M$39,FALSE)*$C$59*$A62/8760/1000*VLOOKUP(1*RIGHT($D62,1),'PNW Solar Zones'!$A$2:$D$6,4,FALSE)</f>
        <v>0.95815294287497998</v>
      </c>
      <c r="N62" s="36">
        <f>VLOOKUP($C62,$C$49:$Y$52,N$39,FALSE)*$C$59*$A62/8760/1000*VLOOKUP(1*RIGHT($D62,1),'PNW Solar Zones'!$A$2:$D$6,4,FALSE)</f>
        <v>0.89569798693818137</v>
      </c>
      <c r="O62" s="36">
        <f>VLOOKUP($C62,$C$49:$Y$52,O$39,FALSE)*$C$59*$A62/8760/1000*VLOOKUP(1*RIGHT($D62,1),'PNW Solar Zones'!$A$2:$D$6,4,FALSE)</f>
        <v>0.83765828504008011</v>
      </c>
      <c r="P62" s="36">
        <f>VLOOKUP($C62,$C$49:$Y$52,P$39,FALSE)*$C$59*$A62/8760/1000*VLOOKUP(1*RIGHT($D62,1),'PNW Solar Zones'!$A$2:$D$6,4,FALSE)</f>
        <v>0.78397848759683131</v>
      </c>
      <c r="Q62" s="36">
        <f>VLOOKUP($C62,$C$49:$Y$52,Q$39,FALSE)*$C$59*$A62/8760/1000*VLOOKUP(1*RIGHT($D62,1),'PNW Solar Zones'!$A$2:$D$6,4,FALSE)</f>
        <v>0.73444917947805544</v>
      </c>
      <c r="R62" s="36">
        <f>VLOOKUP($C62,$C$49:$Y$52,R$39,FALSE)*$C$59*$A62/8760/1000*VLOOKUP(1*RIGHT($D62,1),'PNW Solar Zones'!$A$2:$D$6,4,FALSE)</f>
        <v>0.68081675846818024</v>
      </c>
      <c r="S62" s="36">
        <f>VLOOKUP($C62,$C$49:$Y$52,S$39,FALSE)*$C$59*$A62/8760/1000*VLOOKUP(1*RIGHT($D62,1),'PNW Solar Zones'!$A$2:$D$6,4,FALSE)</f>
        <v>0.63906989047857743</v>
      </c>
      <c r="T62" s="36">
        <f>VLOOKUP($C62,$C$49:$Y$52,T$39,FALSE)*$C$59*$A62/8760/1000*VLOOKUP(1*RIGHT($D62,1),'PNW Solar Zones'!$A$2:$D$6,4,FALSE)</f>
        <v>0.60058299158475237</v>
      </c>
      <c r="U62" s="36">
        <f>VLOOKUP($C62,$C$49:$Y$52,U$39,FALSE)*$C$59*$A62/8760/1000*VLOOKUP(1*RIGHT($D62,1),'PNW Solar Zones'!$A$2:$D$6,4,FALSE)</f>
        <v>0.56477267534174258</v>
      </c>
      <c r="V62" s="36">
        <f>VLOOKUP($C62,$C$49:$Y$52,V$39,FALSE)*$C$59*$A62/8760/1000*VLOOKUP(1*RIGHT($D62,1),'PNW Solar Zones'!$A$2:$D$6,4,FALSE)</f>
        <v>0.53142983360164009</v>
      </c>
      <c r="W62" s="36">
        <f>VLOOKUP($C62,$C$49:$Y$52,W$39,FALSE)*$C$59*$A62/8760/1000*VLOOKUP(1*RIGHT($D62,1),'PNW Solar Zones'!$A$2:$D$6,4,FALSE)</f>
        <v>0.50041599089093436</v>
      </c>
      <c r="X62" s="36">
        <f>VLOOKUP($C62,$C$49:$Y$52,X$39,FALSE)*$C$59*$A62/8760/1000*VLOOKUP(1*RIGHT($D62,1),'PNW Solar Zones'!$A$2:$D$6,4,FALSE)</f>
        <v>0.47128633432007033</v>
      </c>
      <c r="Y62" s="53">
        <f>(VLOOKUP($C62,$C$31:$AA$34,X$30+3,FALSE)+VLOOKUP($C62,$C$40:$AA$43,$X$39+3,FALSE))*$C$59*$A62/8760/1000*VLOOKUP(1*RIGHT($D62,1),'PNW Solar Zones'!$A$2:$D$6,4,FALSE)</f>
        <v>21.928897929589589</v>
      </c>
      <c r="AA62" s="36">
        <f t="shared" ref="AA62:AA64" si="24">SUM(E62:X62)</f>
        <v>14.943308460286849</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75">
        <f t="shared" si="22"/>
        <v>1294.2701140210308</v>
      </c>
      <c r="B63" s="75">
        <f t="shared" si="23"/>
        <v>623.57584898587277</v>
      </c>
      <c r="C63" s="9" t="s">
        <v>48</v>
      </c>
      <c r="D63" t="s">
        <v>363</v>
      </c>
      <c r="E63" s="36">
        <f>VLOOKUP($C63,$C$49:$Y$52,E$39,FALSE)*$C$59*$A63/8760/1000*VLOOKUP(1*RIGHT($D63,1),'PNW Solar Zones'!$A$2:$D$6,4,FALSE)</f>
        <v>0.17031543538160651</v>
      </c>
      <c r="F63" s="36">
        <f>VLOOKUP($C63,$C$49:$Y$52,F$39,FALSE)*$C$59*$A63/8760/1000*VLOOKUP(1*RIGHT($D63,1),'PNW Solar Zones'!$A$2:$D$6,4,FALSE)</f>
        <v>0.33627718093003534</v>
      </c>
      <c r="G63" s="36">
        <f>VLOOKUP($C63,$C$49:$Y$52,G$39,FALSE)*$C$59*$A63/8760/1000*VLOOKUP(1*RIGHT($D63,1),'PNW Solar Zones'!$A$2:$D$6,4,FALSE)</f>
        <v>0.49267220230903336</v>
      </c>
      <c r="H63" s="36">
        <f>VLOOKUP($C63,$C$49:$Y$52,H$39,FALSE)*$C$59*$A63/8760/1000*VLOOKUP(1*RIGHT($D63,1),'PNW Solar Zones'!$A$2:$D$6,4,FALSE)</f>
        <v>0.63453942446480571</v>
      </c>
      <c r="I63" s="36">
        <f>VLOOKUP($C63,$C$49:$Y$52,I$39,FALSE)*$C$59*$A63/8760/1000*VLOOKUP(1*RIGHT($D63,1),'PNW Solar Zones'!$A$2:$D$6,4,FALSE)</f>
        <v>0.75747765483042728</v>
      </c>
      <c r="J63" s="36">
        <f>VLOOKUP($C63,$C$49:$Y$52,J$39,FALSE)*$C$59*$A63/8760/1000*VLOOKUP(1*RIGHT($D63,1),'PNW Solar Zones'!$A$2:$D$6,4,FALSE)</f>
        <v>0.81032938076366667</v>
      </c>
      <c r="K63" s="36">
        <f>VLOOKUP($C63,$C$49:$Y$52,K$39,FALSE)*$C$59*$A63/8760/1000*VLOOKUP(1*RIGHT($D63,1),'PNW Solar Zones'!$A$2:$D$6,4,FALSE)</f>
        <v>0.75863850301778701</v>
      </c>
      <c r="L63" s="36">
        <f>VLOOKUP($C63,$C$49:$Y$52,L$39,FALSE)*$C$59*$A63/8760/1000*VLOOKUP(1*RIGHT($D63,1),'PNW Solar Zones'!$A$2:$D$6,4,FALSE)</f>
        <v>0.70959170691732742</v>
      </c>
      <c r="M63" s="36">
        <f>VLOOKUP($C63,$C$49:$Y$52,M$39,FALSE)*$C$59*$A63/8760/1000*VLOOKUP(1*RIGHT($D63,1),'PNW Solar Zones'!$A$2:$D$6,4,FALSE)</f>
        <v>0.66336905654702283</v>
      </c>
      <c r="N63" s="36">
        <f>VLOOKUP($C63,$C$49:$Y$52,N$39,FALSE)*$C$59*$A63/8760/1000*VLOOKUP(1*RIGHT($D63,1),'PNW Solar Zones'!$A$2:$D$6,4,FALSE)</f>
        <v>0.62012889796423398</v>
      </c>
      <c r="O63" s="36">
        <f>VLOOKUP($C63,$C$49:$Y$52,O$39,FALSE)*$C$59*$A63/8760/1000*VLOOKUP(1*RIGHT($D63,1),'PNW Solar Zones'!$A$2:$D$6,4,FALSE)</f>
        <v>0.5799456030354645</v>
      </c>
      <c r="P63" s="36">
        <f>VLOOKUP($C63,$C$49:$Y$52,P$39,FALSE)*$C$59*$A63/8760/1000*VLOOKUP(1*RIGHT($D63,1),'PNW Solar Zones'!$A$2:$D$6,4,FALSE)</f>
        <v>0.54278085094618378</v>
      </c>
      <c r="Q63" s="36">
        <f>VLOOKUP($C63,$C$49:$Y$52,Q$39,FALSE)*$C$59*$A63/8760/1000*VLOOKUP(1*RIGHT($D63,1),'PNW Solar Zones'!$A$2:$D$6,4,FALSE)</f>
        <v>0.50848965490853171</v>
      </c>
      <c r="R63" s="36">
        <f>VLOOKUP($C63,$C$49:$Y$52,R$39,FALSE)*$C$59*$A63/8760/1000*VLOOKUP(1*RIGHT($D63,1),'PNW Solar Zones'!$A$2:$D$6,4,FALSE)</f>
        <v>0.47135770349073414</v>
      </c>
      <c r="S63" s="36">
        <f>VLOOKUP($C63,$C$49:$Y$52,S$39,FALSE)*$C$59*$A63/8760/1000*VLOOKUP(1*RIGHT($D63,1),'PNW Solar Zones'!$A$2:$D$6,4,FALSE)</f>
        <v>0.4424546138138814</v>
      </c>
      <c r="T63" s="36">
        <f>VLOOKUP($C63,$C$49:$Y$52,T$39,FALSE)*$C$59*$A63/8760/1000*VLOOKUP(1*RIGHT($D63,1),'PNW Solar Zones'!$A$2:$D$6,4,FALSE)</f>
        <v>0.41580853606766011</v>
      </c>
      <c r="U63" s="36">
        <f>VLOOKUP($C63,$C$49:$Y$52,U$39,FALSE)*$C$59*$A63/8760/1000*VLOOKUP(1*RIGHT($D63,1),'PNW Solar Zones'!$A$2:$D$6,4,FALSE)</f>
        <v>0.39101556759908074</v>
      </c>
      <c r="V63" s="36">
        <f>VLOOKUP($C63,$C$49:$Y$52,V$39,FALSE)*$C$59*$A63/8760/1000*VLOOKUP(1*RIGHT($D63,1),'PNW Solar Zones'!$A$2:$D$6,4,FALSE)</f>
        <v>0.36793093415699091</v>
      </c>
      <c r="W63" s="36">
        <f>VLOOKUP($C63,$C$49:$Y$52,W$39,FALSE)*$C$59*$A63/8760/1000*VLOOKUP(1*RIGHT($D63,1),'PNW Solar Zones'!$A$2:$D$6,4,FALSE)</f>
        <v>0.34645876342277965</v>
      </c>
      <c r="X63" s="36">
        <f>VLOOKUP($C63,$C$49:$Y$52,X$39,FALSE)*$C$59*$A63/8760/1000*VLOOKUP(1*RIGHT($D63,1),'PNW Solar Zones'!$A$2:$D$6,4,FALSE)</f>
        <v>0.32629109296823694</v>
      </c>
      <c r="Y63" s="53">
        <f>(VLOOKUP($C63,$C$31:$AA$34,X$30+3,FALSE)+VLOOKUP($C63,$C$40:$AA$43,$X$39+3,FALSE))*$C$59*$A63/8760/1000*VLOOKUP(1*RIGHT($D63,1),'PNW Solar Zones'!$A$2:$D$6,4,FALSE)</f>
        <v>15.182286334182763</v>
      </c>
      <c r="AA63" s="36">
        <f t="shared" si="24"/>
        <v>10.345872763535487</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75">
        <f t="shared" si="22"/>
        <v>1504.9652488616637</v>
      </c>
      <c r="B64" s="75">
        <f t="shared" si="23"/>
        <v>534.94726319905465</v>
      </c>
      <c r="C64" s="9" t="s">
        <v>48</v>
      </c>
      <c r="D64" t="s">
        <v>364</v>
      </c>
      <c r="E64" s="36">
        <f>VLOOKUP($C64,$C$49:$Y$52,E$39,FALSE)*$C$59*$A64/8760/1000*VLOOKUP(1*RIGHT($D64,1),'PNW Solar Zones'!$A$2:$D$6,4,FALSE)</f>
        <v>5.4795664727915319E-2</v>
      </c>
      <c r="F64" s="36">
        <f>VLOOKUP($C64,$C$49:$Y$52,F$39,FALSE)*$C$59*$A64/8760/1000*VLOOKUP(1*RIGHT($D64,1),'PNW Solar Zones'!$A$2:$D$6,4,FALSE)</f>
        <v>0.10819061478840422</v>
      </c>
      <c r="G64" s="36">
        <f>VLOOKUP($C64,$C$49:$Y$52,G$39,FALSE)*$C$59*$A64/8760/1000*VLOOKUP(1*RIGHT($D64,1),'PNW Solar Zones'!$A$2:$D$6,4,FALSE)</f>
        <v>0.15850765820491788</v>
      </c>
      <c r="H64" s="36">
        <f>VLOOKUP($C64,$C$49:$Y$52,H$39,FALSE)*$C$59*$A64/8760/1000*VLOOKUP(1*RIGHT($D64,1),'PNW Solar Zones'!$A$2:$D$6,4,FALSE)</f>
        <v>0.20415066597876247</v>
      </c>
      <c r="I64" s="36">
        <f>VLOOKUP($C64,$C$49:$Y$52,I$39,FALSE)*$C$59*$A64/8760/1000*VLOOKUP(1*RIGHT($D64,1),'PNW Solar Zones'!$A$2:$D$6,4,FALSE)</f>
        <v>0.2437036403657529</v>
      </c>
      <c r="J64" s="36">
        <f>VLOOKUP($C64,$C$49:$Y$52,J$39,FALSE)*$C$59*$A64/8760/1000*VLOOKUP(1*RIGHT($D64,1),'PNW Solar Zones'!$A$2:$D$6,4,FALSE)</f>
        <v>0.2607076508833</v>
      </c>
      <c r="K64" s="36">
        <f>VLOOKUP($C64,$C$49:$Y$52,K$39,FALSE)*$C$59*$A64/8760/1000*VLOOKUP(1*RIGHT($D64,1),'PNW Solar Zones'!$A$2:$D$6,4,FALSE)</f>
        <v>0.24407712059631478</v>
      </c>
      <c r="L64" s="36">
        <f>VLOOKUP($C64,$C$49:$Y$52,L$39,FALSE)*$C$59*$A64/8760/1000*VLOOKUP(1*RIGHT($D64,1),'PNW Solar Zones'!$A$2:$D$6,4,FALSE)</f>
        <v>0.22829727193446273</v>
      </c>
      <c r="M64" s="36">
        <f>VLOOKUP($C64,$C$49:$Y$52,M$39,FALSE)*$C$59*$A64/8760/1000*VLOOKUP(1*RIGHT($D64,1),'PNW Solar Zones'!$A$2:$D$6,4,FALSE)</f>
        <v>0.21342603699999008</v>
      </c>
      <c r="N64" s="36">
        <f>VLOOKUP($C64,$C$49:$Y$52,N$39,FALSE)*$C$59*$A64/8760/1000*VLOOKUP(1*RIGHT($D64,1),'PNW Solar Zones'!$A$2:$D$6,4,FALSE)</f>
        <v>0.1995143605440329</v>
      </c>
      <c r="O64" s="36">
        <f>VLOOKUP($C64,$C$49:$Y$52,O$39,FALSE)*$C$59*$A64/8760/1000*VLOOKUP(1*RIGHT($D64,1),'PNW Solar Zones'!$A$2:$D$6,4,FALSE)</f>
        <v>0.18658617026200522</v>
      </c>
      <c r="P64" s="36">
        <f>VLOOKUP($C64,$C$49:$Y$52,P$39,FALSE)*$C$59*$A64/8760/1000*VLOOKUP(1*RIGHT($D64,1),'PNW Solar Zones'!$A$2:$D$6,4,FALSE)</f>
        <v>0.1746291371803152</v>
      </c>
      <c r="Q64" s="36">
        <f>VLOOKUP($C64,$C$49:$Y$52,Q$39,FALSE)*$C$59*$A64/8760/1000*VLOOKUP(1*RIGHT($D64,1),'PNW Solar Zones'!$A$2:$D$6,4,FALSE)</f>
        <v>0.16359661463185493</v>
      </c>
      <c r="R64" s="36">
        <f>VLOOKUP($C64,$C$49:$Y$52,R$39,FALSE)*$C$59*$A64/8760/1000*VLOOKUP(1*RIGHT($D64,1),'PNW Solar Zones'!$A$2:$D$6,4,FALSE)</f>
        <v>0.15165013452555082</v>
      </c>
      <c r="S64" s="36">
        <f>VLOOKUP($C64,$C$49:$Y$52,S$39,FALSE)*$C$59*$A64/8760/1000*VLOOKUP(1*RIGHT($D64,1),'PNW Solar Zones'!$A$2:$D$6,4,FALSE)</f>
        <v>0.1423511299580251</v>
      </c>
      <c r="T64" s="36">
        <f>VLOOKUP($C64,$C$49:$Y$52,T$39,FALSE)*$C$59*$A64/8760/1000*VLOOKUP(1*RIGHT($D64,1),'PNW Solar Zones'!$A$2:$D$6,4,FALSE)</f>
        <v>0.13377827489515631</v>
      </c>
      <c r="U64" s="36">
        <f>VLOOKUP($C64,$C$49:$Y$52,U$39,FALSE)*$C$59*$A64/8760/1000*VLOOKUP(1*RIGHT($D64,1),'PNW Solar Zones'!$A$2:$D$6,4,FALSE)</f>
        <v>0.12580162154738364</v>
      </c>
      <c r="V64" s="36">
        <f>VLOOKUP($C64,$C$49:$Y$52,V$39,FALSE)*$C$59*$A64/8760/1000*VLOOKUP(1*RIGHT($D64,1),'PNW Solar Zones'!$A$2:$D$6,4,FALSE)</f>
        <v>0.11837459162713378</v>
      </c>
      <c r="W64" s="36">
        <f>VLOOKUP($C64,$C$49:$Y$52,W$39,FALSE)*$C$59*$A64/8760/1000*VLOOKUP(1*RIGHT($D64,1),'PNW Solar Zones'!$A$2:$D$6,4,FALSE)</f>
        <v>0.11146634008847456</v>
      </c>
      <c r="X64" s="36">
        <f>VLOOKUP($C64,$C$49:$Y$52,X$39,FALSE)*$C$59*$A64/8760/1000*VLOOKUP(1*RIGHT($D64,1),'PNW Solar Zones'!$A$2:$D$6,4,FALSE)</f>
        <v>0.10497778603526073</v>
      </c>
      <c r="Y64" s="53">
        <f>(VLOOKUP($C64,$C$31:$AA$34,X$30+3,FALSE)+VLOOKUP($C64,$C$40:$AA$43,$X$39+3,FALSE))*$C$59*$A64/8760/1000*VLOOKUP(1*RIGHT($D64,1),'PNW Solar Zones'!$A$2:$D$6,4,FALSE)</f>
        <v>4.8846040871579985</v>
      </c>
      <c r="AA64" s="36">
        <f t="shared" si="24"/>
        <v>3.328582485775013</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75">
        <f t="shared" si="22"/>
        <v>1143.7735891348643</v>
      </c>
      <c r="B65" s="75">
        <f t="shared" si="23"/>
        <v>706.87339201859641</v>
      </c>
      <c r="C65" s="9" t="str">
        <f>C14</f>
        <v>Multifamily - Low Rise</v>
      </c>
      <c r="D65" t="s">
        <v>361</v>
      </c>
      <c r="E65" s="36">
        <f ca="1">VLOOKUP($C65,$C$49:$Y$52,E$39,FALSE)*$C$59*$A65/8760/1000*VLOOKUP(1*RIGHT($D65,1),'PNW Solar Zones'!$A$2:$D$6,4,FALSE)</f>
        <v>7.2026513483340576E-2</v>
      </c>
      <c r="F65" s="36">
        <f ca="1">VLOOKUP($C65,$C$49:$Y$52,F$39,FALSE)*$C$59*$A65/8760/1000*VLOOKUP(1*RIGHT($D65,1),'PNW Solar Zones'!$A$2:$D$6,4,FALSE)</f>
        <v>0.14228864969947314</v>
      </c>
      <c r="G65" s="36">
        <f ca="1">VLOOKUP($C65,$C$49:$Y$52,G$39,FALSE)*$C$59*$A65/8760/1000*VLOOKUP(1*RIGHT($D65,1),'PNW Solar Zones'!$A$2:$D$6,4,FALSE)</f>
        <v>0.20868934100620926</v>
      </c>
      <c r="H65" s="36">
        <f ca="1">VLOOKUP($C65,$C$49:$Y$52,H$39,FALSE)*$C$59*$A65/8760/1000*VLOOKUP(1*RIGHT($D65,1),'PNW Solar Zones'!$A$2:$D$6,4,FALSE)</f>
        <v>0.269291976223624</v>
      </c>
      <c r="I65" s="36">
        <f ca="1">VLOOKUP($C65,$C$49:$Y$52,I$39,FALSE)*$C$59*$A65/8760/1000*VLOOKUP(1*RIGHT($D65,1),'PNW Solar Zones'!$A$2:$D$6,4,FALSE)</f>
        <v>0.32241655584925422</v>
      </c>
      <c r="J65" s="36">
        <f ca="1">VLOOKUP($C65,$C$49:$Y$52,J$39,FALSE)*$C$59*$A65/8760/1000*VLOOKUP(1*RIGHT($D65,1),'PNW Solar Zones'!$A$2:$D$6,4,FALSE)</f>
        <v>0.34634687776377082</v>
      </c>
      <c r="K65" s="36">
        <f ca="1">VLOOKUP($C65,$C$49:$Y$52,K$39,FALSE)*$C$59*$A65/8760/1000*VLOOKUP(1*RIGHT($D65,1),'PNW Solar Zones'!$A$2:$D$6,4,FALSE)</f>
        <v>0.32597863183574766</v>
      </c>
      <c r="L65" s="36">
        <f ca="1">VLOOKUP($C65,$C$49:$Y$52,L$39,FALSE)*$C$59*$A65/8760/1000*VLOOKUP(1*RIGHT($D65,1),'PNW Solar Zones'!$A$2:$D$6,4,FALSE)</f>
        <v>0.30680821810665448</v>
      </c>
      <c r="M65" s="36">
        <f ca="1">VLOOKUP($C65,$C$49:$Y$52,M$39,FALSE)*$C$59*$A65/8760/1000*VLOOKUP(1*RIGHT($D65,1),'PNW Solar Zones'!$A$2:$D$6,4,FALSE)</f>
        <v>0.2887651934965198</v>
      </c>
      <c r="N65" s="36">
        <f ca="1">VLOOKUP($C65,$C$49:$Y$52,N$39,FALSE)*$C$59*$A65/8760/1000*VLOOKUP(1*RIGHT($D65,1),'PNW Solar Zones'!$A$2:$D$6,4,FALSE)</f>
        <v>0.27178325759871158</v>
      </c>
      <c r="O65" s="36">
        <f ca="1">VLOOKUP($C65,$C$49:$Y$52,O$39,FALSE)*$C$59*$A65/8760/1000*VLOOKUP(1*RIGHT($D65,1),'PNW Solar Zones'!$A$2:$D$6,4,FALSE)</f>
        <v>0.25580000905426936</v>
      </c>
      <c r="P65" s="36">
        <f ca="1">VLOOKUP($C65,$C$49:$Y$52,P$39,FALSE)*$C$59*$A65/8760/1000*VLOOKUP(1*RIGHT($D65,1),'PNW Solar Zones'!$A$2:$D$6,4,FALSE)</f>
        <v>0.2407567162535714</v>
      </c>
      <c r="Q65" s="36">
        <f ca="1">VLOOKUP($C65,$C$49:$Y$52,Q$39,FALSE)*$C$59*$A65/8760/1000*VLOOKUP(1*RIGHT($D65,1),'PNW Solar Zones'!$A$2:$D$6,4,FALSE)</f>
        <v>0.22659810152276177</v>
      </c>
      <c r="R65" s="36">
        <f ca="1">VLOOKUP($C65,$C$49:$Y$52,R$39,FALSE)*$C$59*$A65/8760/1000*VLOOKUP(1*RIGHT($D65,1),'PNW Solar Zones'!$A$2:$D$6,4,FALSE)</f>
        <v>0.21327213800191616</v>
      </c>
      <c r="S65" s="36">
        <f ca="1">VLOOKUP($C65,$C$49:$Y$52,S$39,FALSE)*$C$59*$A65/8760/1000*VLOOKUP(1*RIGHT($D65,1),'PNW Solar Zones'!$A$2:$D$6,4,FALSE)</f>
        <v>0.20072985846856009</v>
      </c>
      <c r="T65" s="36">
        <f ca="1">VLOOKUP($C65,$C$49:$Y$52,T$39,FALSE)*$C$59*$A65/8760/1000*VLOOKUP(1*RIGHT($D65,1),'PNW Solar Zones'!$A$2:$D$6,4,FALSE)</f>
        <v>0.18892517540404671</v>
      </c>
      <c r="U65" s="36">
        <f ca="1">VLOOKUP($C65,$C$49:$Y$52,U$39,FALSE)*$C$59*$A65/8760/1000*VLOOKUP(1*RIGHT($D65,1),'PNW Solar Zones'!$A$2:$D$6,4,FALSE)</f>
        <v>0.1778147116416188</v>
      </c>
      <c r="V65" s="36">
        <f ca="1">VLOOKUP($C65,$C$49:$Y$52,V$39,FALSE)*$C$59*$A65/8760/1000*VLOOKUP(1*RIGHT($D65,1),'PNW Solar Zones'!$A$2:$D$6,4,FALSE)</f>
        <v>0.16735764097384867</v>
      </c>
      <c r="W65" s="36">
        <f ca="1">VLOOKUP($C65,$C$49:$Y$52,W$39,FALSE)*$C$59*$A65/8760/1000*VLOOKUP(1*RIGHT($D65,1),'PNW Solar Zones'!$A$2:$D$6,4,FALSE)</f>
        <v>0.15751553813377589</v>
      </c>
      <c r="X65" s="36">
        <f ca="1">VLOOKUP($C65,$C$49:$Y$52,X$39,FALSE)*$C$59*$A65/8760/1000*VLOOKUP(1*RIGHT($D65,1),'PNW Solar Zones'!$A$2:$D$6,4,FALSE)</f>
        <v>0.14825223759846148</v>
      </c>
      <c r="Y65" s="53">
        <f ca="1">(VLOOKUP($C65,$C$31:$AA$34,X$30+3,FALSE)+VLOOKUP($C65,$C$40:$AA$43,$X$39+3,FALSE))*$C$59*$A65/8760/1000*VLOOKUP(1*RIGHT($D65,1),'PNW Solar Zones'!$A$2:$D$6,4,FALSE)</f>
        <v>6.8981592492389749</v>
      </c>
      <c r="AA65" s="36">
        <f ca="1">SUM(E65:X65)</f>
        <v>4.5314173421161357</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75">
        <f t="shared" si="22"/>
        <v>1203.9721990893308</v>
      </c>
      <c r="B66" s="75">
        <f t="shared" si="23"/>
        <v>671.05544851452532</v>
      </c>
      <c r="C66" s="9" t="s">
        <v>49</v>
      </c>
      <c r="D66" t="s">
        <v>362</v>
      </c>
      <c r="E66" s="36">
        <f ca="1">VLOOKUP($C66,$C$49:$Y$52,E$39,FALSE)*$C$59*$A66/8760/1000*VLOOKUP(1*RIGHT($D66,1),'PNW Solar Zones'!$A$2:$D$6,4,FALSE)</f>
        <v>9.3965740625918712E-2</v>
      </c>
      <c r="F66" s="36">
        <f ca="1">VLOOKUP($C66,$C$49:$Y$52,F$39,FALSE)*$C$59*$A66/8760/1000*VLOOKUP(1*RIGHT($D66,1),'PNW Solar Zones'!$A$2:$D$6,4,FALSE)</f>
        <v>0.18562967586603216</v>
      </c>
      <c r="G66" s="36">
        <f ca="1">VLOOKUP($C66,$C$49:$Y$52,G$39,FALSE)*$C$59*$A66/8760/1000*VLOOKUP(1*RIGHT($D66,1),'PNW Solar Zones'!$A$2:$D$6,4,FALSE)</f>
        <v>0.27225597269704011</v>
      </c>
      <c r="H66" s="36">
        <f ca="1">VLOOKUP($C66,$C$49:$Y$52,H$39,FALSE)*$C$59*$A66/8760/1000*VLOOKUP(1*RIGHT($D66,1),'PNW Solar Zones'!$A$2:$D$6,4,FALSE)</f>
        <v>0.35131812948745444</v>
      </c>
      <c r="I66" s="36">
        <f ca="1">VLOOKUP($C66,$C$49:$Y$52,I$39,FALSE)*$C$59*$A66/8760/1000*VLOOKUP(1*RIGHT($D66,1),'PNW Solar Zones'!$A$2:$D$6,4,FALSE)</f>
        <v>0.42062442002611194</v>
      </c>
      <c r="J66" s="36">
        <f ca="1">VLOOKUP($C66,$C$49:$Y$52,J$39,FALSE)*$C$59*$A66/8760/1000*VLOOKUP(1*RIGHT($D66,1),'PNW Solar Zones'!$A$2:$D$6,4,FALSE)</f>
        <v>0.45184390176090833</v>
      </c>
      <c r="K66" s="36">
        <f ca="1">VLOOKUP($C66,$C$49:$Y$52,K$39,FALSE)*$C$59*$A66/8760/1000*VLOOKUP(1*RIGHT($D66,1),'PNW Solar Zones'!$A$2:$D$6,4,FALSE)</f>
        <v>0.42527150194149677</v>
      </c>
      <c r="L66" s="36">
        <f ca="1">VLOOKUP($C66,$C$49:$Y$52,L$39,FALSE)*$C$59*$A66/8760/1000*VLOOKUP(1*RIGHT($D66,1),'PNW Solar Zones'!$A$2:$D$6,4,FALSE)</f>
        <v>0.40026179319617256</v>
      </c>
      <c r="M66" s="36">
        <f ca="1">VLOOKUP($C66,$C$49:$Y$52,M$39,FALSE)*$C$59*$A66/8760/1000*VLOOKUP(1*RIGHT($D66,1),'PNW Solar Zones'!$A$2:$D$6,4,FALSE)</f>
        <v>0.37672287553059475</v>
      </c>
      <c r="N66" s="36">
        <f ca="1">VLOOKUP($C66,$C$49:$Y$52,N$39,FALSE)*$C$59*$A66/8760/1000*VLOOKUP(1*RIGHT($D66,1),'PNW Solar Zones'!$A$2:$D$6,4,FALSE)</f>
        <v>0.35456825347925097</v>
      </c>
      <c r="O66" s="36">
        <f ca="1">VLOOKUP($C66,$C$49:$Y$52,O$39,FALSE)*$C$59*$A66/8760/1000*VLOOKUP(1*RIGHT($D66,1),'PNW Solar Zones'!$A$2:$D$6,4,FALSE)</f>
        <v>0.33371651827157595</v>
      </c>
      <c r="P66" s="36">
        <f ca="1">VLOOKUP($C66,$C$49:$Y$52,P$39,FALSE)*$C$59*$A66/8760/1000*VLOOKUP(1*RIGHT($D66,1),'PNW Solar Zones'!$A$2:$D$6,4,FALSE)</f>
        <v>0.31409104868950211</v>
      </c>
      <c r="Q66" s="36">
        <f ca="1">VLOOKUP($C66,$C$49:$Y$52,Q$39,FALSE)*$C$59*$A66/8760/1000*VLOOKUP(1*RIGHT($D66,1),'PNW Solar Zones'!$A$2:$D$6,4,FALSE)</f>
        <v>0.29561972951721849</v>
      </c>
      <c r="R66" s="36">
        <f ca="1">VLOOKUP($C66,$C$49:$Y$52,R$39,FALSE)*$C$59*$A66/8760/1000*VLOOKUP(1*RIGHT($D66,1),'PNW Solar Zones'!$A$2:$D$6,4,FALSE)</f>
        <v>0.2782346865485642</v>
      </c>
      <c r="S66" s="36">
        <f ca="1">VLOOKUP($C66,$C$49:$Y$52,S$39,FALSE)*$C$59*$A66/8760/1000*VLOOKUP(1*RIGHT($D66,1),'PNW Solar Zones'!$A$2:$D$6,4,FALSE)</f>
        <v>0.26187203717831953</v>
      </c>
      <c r="T66" s="36">
        <f ca="1">VLOOKUP($C66,$C$49:$Y$52,T$39,FALSE)*$C$59*$A66/8760/1000*VLOOKUP(1*RIGHT($D66,1),'PNW Solar Zones'!$A$2:$D$6,4,FALSE)</f>
        <v>0.24647165566092452</v>
      </c>
      <c r="U66" s="36">
        <f ca="1">VLOOKUP($C66,$C$49:$Y$52,U$39,FALSE)*$C$59*$A66/8760/1000*VLOOKUP(1*RIGHT($D66,1),'PNW Solar Zones'!$A$2:$D$6,4,FALSE)</f>
        <v>0.23197695217405581</v>
      </c>
      <c r="V66" s="36">
        <f ca="1">VLOOKUP($C66,$C$49:$Y$52,V$39,FALSE)*$C$59*$A66/8760/1000*VLOOKUP(1*RIGHT($D66,1),'PNW Solar Zones'!$A$2:$D$6,4,FALSE)</f>
        <v>0.21833466487520081</v>
      </c>
      <c r="W66" s="36">
        <f ca="1">VLOOKUP($C66,$C$49:$Y$52,W$39,FALSE)*$C$59*$A66/8760/1000*VLOOKUP(1*RIGHT($D66,1),'PNW Solar Zones'!$A$2:$D$6,4,FALSE)</f>
        <v>0.20549466418715134</v>
      </c>
      <c r="X66" s="36">
        <f ca="1">VLOOKUP($C66,$C$49:$Y$52,X$39,FALSE)*$C$59*$A66/8760/1000*VLOOKUP(1*RIGHT($D66,1),'PNW Solar Zones'!$A$2:$D$6,4,FALSE)</f>
        <v>0.19340976859321679</v>
      </c>
      <c r="Y66" s="53">
        <f ca="1">(VLOOKUP($C66,$C$31:$AA$34,X$30+3,FALSE)+VLOOKUP($C66,$C$40:$AA$43,$X$39+3,FALSE))*$C$59*$A66/8760/1000*VLOOKUP(1*RIGHT($D66,1),'PNW Solar Zones'!$A$2:$D$6,4,FALSE)</f>
        <v>8.9993338766868902</v>
      </c>
      <c r="AA66" s="36">
        <f t="shared" ref="AA66:AA68" ca="1" si="25">SUM(E66:X66)</f>
        <v>5.9116839903067095</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67" s="75">
        <f t="shared" si="22"/>
        <v>1294.2701140210308</v>
      </c>
      <c r="B67" s="75">
        <f t="shared" si="23"/>
        <v>623.57584898587277</v>
      </c>
      <c r="C67" s="9" t="s">
        <v>49</v>
      </c>
      <c r="D67" t="s">
        <v>363</v>
      </c>
      <c r="E67" s="36">
        <f ca="1">VLOOKUP($C67,$C$49:$Y$52,E$39,FALSE)*$C$59*$A67/8760/1000*VLOOKUP(1*RIGHT($D67,1),'PNW Solar Zones'!$A$2:$D$6,4,FALSE)</f>
        <v>6.5056382877374627E-2</v>
      </c>
      <c r="F67" s="36">
        <f ca="1">VLOOKUP($C67,$C$49:$Y$52,F$39,FALSE)*$C$59*$A67/8760/1000*VLOOKUP(1*RIGHT($D67,1),'PNW Solar Zones'!$A$2:$D$6,4,FALSE)</f>
        <v>0.12851913033517331</v>
      </c>
      <c r="G67" s="36">
        <f ca="1">VLOOKUP($C67,$C$49:$Y$52,G$39,FALSE)*$C$59*$A67/8760/1000*VLOOKUP(1*RIGHT($D67,1),'PNW Solar Zones'!$A$2:$D$6,4,FALSE)</f>
        <v>0.18849411160332163</v>
      </c>
      <c r="H67" s="36">
        <f ca="1">VLOOKUP($C67,$C$49:$Y$52,H$39,FALSE)*$C$59*$A67/8760/1000*VLOOKUP(1*RIGHT($D67,1),'PNW Solar Zones'!$A$2:$D$6,4,FALSE)</f>
        <v>0.24323212472391934</v>
      </c>
      <c r="I67" s="36">
        <f ca="1">VLOOKUP($C67,$C$49:$Y$52,I$39,FALSE)*$C$59*$A67/8760/1000*VLOOKUP(1*RIGHT($D67,1),'PNW Solar Zones'!$A$2:$D$6,4,FALSE)</f>
        <v>0.2912157466595271</v>
      </c>
      <c r="J67" s="36">
        <f ca="1">VLOOKUP($C67,$C$49:$Y$52,J$39,FALSE)*$C$59*$A67/8760/1000*VLOOKUP(1*RIGHT($D67,1),'PNW Solar Zones'!$A$2:$D$6,4,FALSE)</f>
        <v>0.31283028982646405</v>
      </c>
      <c r="K67" s="36">
        <f ca="1">VLOOKUP($C67,$C$49:$Y$52,K$39,FALSE)*$C$59*$A67/8760/1000*VLOOKUP(1*RIGHT($D67,1),'PNW Solar Zones'!$A$2:$D$6,4,FALSE)</f>
        <v>0.29443311437605862</v>
      </c>
      <c r="L67" s="36">
        <f ca="1">VLOOKUP($C67,$C$49:$Y$52,L$39,FALSE)*$C$59*$A67/8760/1000*VLOOKUP(1*RIGHT($D67,1),'PNW Solar Zones'!$A$2:$D$6,4,FALSE)</f>
        <v>0.27711785482561507</v>
      </c>
      <c r="M67" s="36">
        <f ca="1">VLOOKUP($C67,$C$49:$Y$52,M$39,FALSE)*$C$59*$A67/8760/1000*VLOOKUP(1*RIGHT($D67,1),'PNW Solar Zones'!$A$2:$D$6,4,FALSE)</f>
        <v>0.26082088499416112</v>
      </c>
      <c r="N67" s="36">
        <f ca="1">VLOOKUP($C67,$C$49:$Y$52,N$39,FALSE)*$C$59*$A67/8760/1000*VLOOKUP(1*RIGHT($D67,1),'PNW Solar Zones'!$A$2:$D$6,4,FALSE)</f>
        <v>0.24548232048038138</v>
      </c>
      <c r="O67" s="36">
        <f ca="1">VLOOKUP($C67,$C$49:$Y$52,O$39,FALSE)*$C$59*$A67/8760/1000*VLOOKUP(1*RIGHT($D67,1),'PNW Solar Zones'!$A$2:$D$6,4,FALSE)</f>
        <v>0.23104579861302796</v>
      </c>
      <c r="P67" s="36">
        <f ca="1">VLOOKUP($C67,$C$49:$Y$52,P$39,FALSE)*$C$59*$A67/8760/1000*VLOOKUP(1*RIGHT($D67,1),'PNW Solar Zones'!$A$2:$D$6,4,FALSE)</f>
        <v>0.21745827134218454</v>
      </c>
      <c r="Q67" s="36">
        <f ca="1">VLOOKUP($C67,$C$49:$Y$52,Q$39,FALSE)*$C$59*$A67/8760/1000*VLOOKUP(1*RIGHT($D67,1),'PNW Solar Zones'!$A$2:$D$6,4,FALSE)</f>
        <v>0.20466981031034748</v>
      </c>
      <c r="R67" s="36">
        <f ca="1">VLOOKUP($C67,$C$49:$Y$52,R$39,FALSE)*$C$59*$A67/8760/1000*VLOOKUP(1*RIGHT($D67,1),'PNW Solar Zones'!$A$2:$D$6,4,FALSE)</f>
        <v>0.19263342338704348</v>
      </c>
      <c r="S67" s="36">
        <f ca="1">VLOOKUP($C67,$C$49:$Y$52,S$39,FALSE)*$C$59*$A67/8760/1000*VLOOKUP(1*RIGHT($D67,1),'PNW Solar Zones'!$A$2:$D$6,4,FALSE)</f>
        <v>0.18130488199282757</v>
      </c>
      <c r="T67" s="36">
        <f ca="1">VLOOKUP($C67,$C$49:$Y$52,T$39,FALSE)*$C$59*$A67/8760/1000*VLOOKUP(1*RIGHT($D67,1),'PNW Solar Zones'!$A$2:$D$6,4,FALSE)</f>
        <v>0.17064255857814958</v>
      </c>
      <c r="U67" s="36">
        <f ca="1">VLOOKUP($C67,$C$49:$Y$52,U$39,FALSE)*$C$59*$A67/8760/1000*VLOOKUP(1*RIGHT($D67,1),'PNW Solar Zones'!$A$2:$D$6,4,FALSE)</f>
        <v>0.16060727365989669</v>
      </c>
      <c r="V67" s="36">
        <f ca="1">VLOOKUP($C67,$C$49:$Y$52,V$39,FALSE)*$C$59*$A67/8760/1000*VLOOKUP(1*RIGHT($D67,1),'PNW Solar Zones'!$A$2:$D$6,4,FALSE)</f>
        <v>0.15116215185352791</v>
      </c>
      <c r="W67" s="36">
        <f ca="1">VLOOKUP($C67,$C$49:$Y$52,W$39,FALSE)*$C$59*$A67/8760/1000*VLOOKUP(1*RIGHT($D67,1),'PNW Solar Zones'!$A$2:$D$6,4,FALSE)</f>
        <v>0.14227248637179707</v>
      </c>
      <c r="X67" s="36">
        <f ca="1">VLOOKUP($C67,$C$49:$Y$52,X$39,FALSE)*$C$59*$A67/8760/1000*VLOOKUP(1*RIGHT($D67,1),'PNW Solar Zones'!$A$2:$D$6,4,FALSE)</f>
        <v>0.13390561149213226</v>
      </c>
      <c r="Y67" s="53">
        <f ca="1">(VLOOKUP($C67,$C$31:$AA$34,X$30+3,FALSE)+VLOOKUP($C67,$C$40:$AA$43,$X$39+3,FALSE))*$C$59*$A67/8760/1000*VLOOKUP(1*RIGHT($D67,1),'PNW Solar Zones'!$A$2:$D$6,4,FALSE)</f>
        <v>6.23061241707045</v>
      </c>
      <c r="AA67" s="36">
        <f t="shared" ca="1" si="25"/>
        <v>4.0929042283029302</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68" s="75">
        <f t="shared" si="22"/>
        <v>1504.9652488616637</v>
      </c>
      <c r="B68" s="75">
        <f t="shared" si="23"/>
        <v>534.94726319905465</v>
      </c>
      <c r="C68" s="9" t="s">
        <v>49</v>
      </c>
      <c r="D68" t="s">
        <v>364</v>
      </c>
      <c r="E68" s="36">
        <f ca="1">VLOOKUP($C68,$C$49:$Y$52,E$39,FALSE)*$C$59*$A68/8760/1000*VLOOKUP(1*RIGHT($D68,1),'PNW Solar Zones'!$A$2:$D$6,4,FALSE)</f>
        <v>2.0930620507602558E-2</v>
      </c>
      <c r="F68" s="36">
        <f ca="1">VLOOKUP($C68,$C$49:$Y$52,F$39,FALSE)*$C$59*$A68/8760/1000*VLOOKUP(1*RIGHT($D68,1),'PNW Solar Zones'!$A$2:$D$6,4,FALSE)</f>
        <v>4.1348519945890658E-2</v>
      </c>
      <c r="G68" s="36">
        <f ca="1">VLOOKUP($C68,$C$49:$Y$52,G$39,FALSE)*$C$59*$A68/8760/1000*VLOOKUP(1*RIGHT($D68,1),'PNW Solar Zones'!$A$2:$D$6,4,FALSE)</f>
        <v>6.0644298735811036E-2</v>
      </c>
      <c r="H68" s="36">
        <f ca="1">VLOOKUP($C68,$C$49:$Y$52,H$39,FALSE)*$C$59*$A68/8760/1000*VLOOKUP(1*RIGHT($D68,1),'PNW Solar Zones'!$A$2:$D$6,4,FALSE)</f>
        <v>7.8255185312873607E-2</v>
      </c>
      <c r="I68" s="36">
        <f ca="1">VLOOKUP($C68,$C$49:$Y$52,I$39,FALSE)*$C$59*$A68/8760/1000*VLOOKUP(1*RIGHT($D68,1),'PNW Solar Zones'!$A$2:$D$6,4,FALSE)</f>
        <v>9.3692978453133888E-2</v>
      </c>
      <c r="J68" s="36">
        <f ca="1">VLOOKUP($C68,$C$49:$Y$52,J$39,FALSE)*$C$59*$A68/8760/1000*VLOOKUP(1*RIGHT($D68,1),'PNW Solar Zones'!$A$2:$D$6,4,FALSE)</f>
        <v>0.1006470355412</v>
      </c>
      <c r="K68" s="36">
        <f ca="1">VLOOKUP($C68,$C$49:$Y$52,K$39,FALSE)*$C$59*$A68/8760/1000*VLOOKUP(1*RIGHT($D68,1),'PNW Solar Zones'!$A$2:$D$6,4,FALSE)</f>
        <v>9.4728103674206574E-2</v>
      </c>
      <c r="L68" s="36">
        <f ca="1">VLOOKUP($C68,$C$49:$Y$52,L$39,FALSE)*$C$59*$A68/8760/1000*VLOOKUP(1*RIGHT($D68,1),'PNW Solar Zones'!$A$2:$D$6,4,FALSE)</f>
        <v>8.9157257116012564E-2</v>
      </c>
      <c r="M68" s="36">
        <f ca="1">VLOOKUP($C68,$C$49:$Y$52,M$39,FALSE)*$C$59*$A68/8760/1000*VLOOKUP(1*RIGHT($D68,1),'PNW Solar Zones'!$A$2:$D$6,4,FALSE)</f>
        <v>8.3914025385638566E-2</v>
      </c>
      <c r="N68" s="36">
        <f ca="1">VLOOKUP($C68,$C$49:$Y$52,N$39,FALSE)*$C$59*$A68/8760/1000*VLOOKUP(1*RIGHT($D68,1),'PNW Solar Zones'!$A$2:$D$6,4,FALSE)</f>
        <v>7.8979141846625273E-2</v>
      </c>
      <c r="O68" s="36">
        <f ca="1">VLOOKUP($C68,$C$49:$Y$52,O$39,FALSE)*$C$59*$A68/8760/1000*VLOOKUP(1*RIGHT($D68,1),'PNW Solar Zones'!$A$2:$D$6,4,FALSE)</f>
        <v>7.4334472910376009E-2</v>
      </c>
      <c r="P68" s="36">
        <f ca="1">VLOOKUP($C68,$C$49:$Y$52,P$39,FALSE)*$C$59*$A68/8760/1000*VLOOKUP(1*RIGHT($D68,1),'PNW Solar Zones'!$A$2:$D$6,4,FALSE)</f>
        <v>6.9962951402966281E-2</v>
      </c>
      <c r="Q68" s="36">
        <f ca="1">VLOOKUP($C68,$C$49:$Y$52,Q$39,FALSE)*$C$59*$A68/8760/1000*VLOOKUP(1*RIGHT($D68,1),'PNW Solar Zones'!$A$2:$D$6,4,FALSE)</f>
        <v>6.5848513850571472E-2</v>
      </c>
      <c r="R68" s="36">
        <f ca="1">VLOOKUP($C68,$C$49:$Y$52,R$39,FALSE)*$C$59*$A68/8760/1000*VLOOKUP(1*RIGHT($D68,1),'PNW Solar Zones'!$A$2:$D$6,4,FALSE)</f>
        <v>6.1976041453063464E-2</v>
      </c>
      <c r="S68" s="36">
        <f ca="1">VLOOKUP($C68,$C$49:$Y$52,S$39,FALSE)*$C$59*$A68/8760/1000*VLOOKUP(1*RIGHT($D68,1),'PNW Solar Zones'!$A$2:$D$6,4,FALSE)</f>
        <v>5.833130452887976E-2</v>
      </c>
      <c r="T68" s="36">
        <f ca="1">VLOOKUP($C68,$C$49:$Y$52,T$39,FALSE)*$C$59*$A68/8760/1000*VLOOKUP(1*RIGHT($D68,1),'PNW Solar Zones'!$A$2:$D$6,4,FALSE)</f>
        <v>5.490091022702312E-2</v>
      </c>
      <c r="U68" s="36">
        <f ca="1">VLOOKUP($C68,$C$49:$Y$52,U$39,FALSE)*$C$59*$A68/8760/1000*VLOOKUP(1*RIGHT($D68,1),'PNW Solar Zones'!$A$2:$D$6,4,FALSE)</f>
        <v>5.167225331405681E-2</v>
      </c>
      <c r="V68" s="36">
        <f ca="1">VLOOKUP($C68,$C$49:$Y$52,V$39,FALSE)*$C$59*$A68/8760/1000*VLOOKUP(1*RIGHT($D68,1),'PNW Solar Zones'!$A$2:$D$6,4,FALSE)</f>
        <v>4.8633469855255865E-2</v>
      </c>
      <c r="W68" s="36">
        <f ca="1">VLOOKUP($C68,$C$49:$Y$52,W$39,FALSE)*$C$59*$A68/8760/1000*VLOOKUP(1*RIGHT($D68,1),'PNW Solar Zones'!$A$2:$D$6,4,FALSE)</f>
        <v>4.5773393619717849E-2</v>
      </c>
      <c r="X68" s="36">
        <f ca="1">VLOOKUP($C68,$C$49:$Y$52,X$39,FALSE)*$C$59*$A68/8760/1000*VLOOKUP(1*RIGHT($D68,1),'PNW Solar Zones'!$A$2:$D$6,4,FALSE)</f>
        <v>4.3081515049233077E-2</v>
      </c>
      <c r="Y68" s="53">
        <f ca="1">(VLOOKUP($C68,$C$31:$AA$34,X$30+3,FALSE)+VLOOKUP($C68,$C$40:$AA$43,$X$39+3,FALSE))*$C$59*$A68/8760/1000*VLOOKUP(1*RIGHT($D68,1),'PNW Solar Zones'!$A$2:$D$6,4,FALSE)</f>
        <v>2.0045778486865768</v>
      </c>
      <c r="AA68" s="36">
        <f t="shared" ca="1" si="25"/>
        <v>1.316811992730138</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A69" s="75"/>
      <c r="B69" s="75"/>
      <c r="E69" s="53"/>
      <c r="F69" s="53"/>
      <c r="G69" s="53"/>
      <c r="H69" s="53"/>
      <c r="I69" s="53"/>
      <c r="J69" s="53"/>
      <c r="K69" s="53"/>
      <c r="L69" s="53"/>
      <c r="M69" s="53"/>
      <c r="N69" s="53"/>
      <c r="O69" s="53"/>
      <c r="P69" s="53"/>
      <c r="Q69" s="53"/>
      <c r="R69" s="53"/>
      <c r="S69" s="53"/>
      <c r="T69" s="53"/>
      <c r="U69" s="53"/>
      <c r="V69" s="53"/>
      <c r="W69" s="53"/>
      <c r="X69" s="53"/>
      <c r="Y69" s="53"/>
      <c r="AA69" s="36"/>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A70" s="41"/>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B71" s="73">
        <f>SUMPRODUCT(B61:B64,AA61:AA64)/SUM(AA61:AA64)</f>
        <v>657.72959692155325</v>
      </c>
      <c r="E71" s="36">
        <f ca="1">SUM(E61:E69)</f>
        <v>0.91165252934148144</v>
      </c>
      <c r="F71" s="36">
        <f t="shared" ref="F71:X71" ca="1" si="26">SUM(F61:F69)</f>
        <v>1.8002696156567146</v>
      </c>
      <c r="G71" s="36">
        <f t="shared" ca="1" si="26"/>
        <v>2.6383234729364924</v>
      </c>
      <c r="H71" s="36">
        <f t="shared" ca="1" si="26"/>
        <v>3.3998235596812272</v>
      </c>
      <c r="I71" s="36">
        <f t="shared" ca="1" si="26"/>
        <v>4.0618456323437044</v>
      </c>
      <c r="J71" s="36">
        <f t="shared" ca="1" si="26"/>
        <v>4.3502716770501362</v>
      </c>
      <c r="K71" s="36">
        <f t="shared" ca="1" si="26"/>
        <v>4.0788035316891298</v>
      </c>
      <c r="L71" s="36">
        <f t="shared" ca="1" si="26"/>
        <v>3.8217670847009089</v>
      </c>
      <c r="M71" s="36">
        <f t="shared" ca="1" si="26"/>
        <v>3.5796133285205967</v>
      </c>
      <c r="N71" s="36">
        <f t="shared" ca="1" si="26"/>
        <v>3.3527236291861557</v>
      </c>
      <c r="O71" s="36">
        <f t="shared" ca="1" si="26"/>
        <v>3.1411677407086103</v>
      </c>
      <c r="P71" s="36">
        <f t="shared" ca="1" si="26"/>
        <v>2.9445917691639072</v>
      </c>
      <c r="Q71" s="36">
        <f t="shared" ca="1" si="26"/>
        <v>2.7622407605962462</v>
      </c>
      <c r="R71" s="36">
        <f t="shared" ca="1" si="26"/>
        <v>2.5717997794127543</v>
      </c>
      <c r="S71" s="36">
        <f t="shared" ca="1" si="26"/>
        <v>2.4159728478082374</v>
      </c>
      <c r="T71" s="36">
        <f t="shared" ca="1" si="26"/>
        <v>2.2714682994914264</v>
      </c>
      <c r="U71" s="36">
        <f t="shared" ca="1" si="26"/>
        <v>2.1365699691496198</v>
      </c>
      <c r="V71" s="36">
        <f t="shared" ca="1" si="26"/>
        <v>2.0105742833853797</v>
      </c>
      <c r="W71" s="36">
        <f t="shared" ca="1" si="26"/>
        <v>1.8929754774346192</v>
      </c>
      <c r="X71" s="36">
        <f t="shared" ca="1" si="26"/>
        <v>1.7824542152887983</v>
      </c>
      <c r="Y71" s="36">
        <f ca="1">SUM(Y61:Y69)</f>
        <v>82.937385841298237</v>
      </c>
      <c r="AA71" s="36">
        <f t="shared" ref="AA71" ca="1" si="27">SUM(E71:X71)</f>
        <v>55.924909203546143</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D72" s="36"/>
      <c r="E72" s="36">
        <f t="shared" ref="E72" si="28">SUM(E61:E64)</f>
        <v>0.65967327184724511</v>
      </c>
      <c r="F72" s="36">
        <f t="shared" ref="F72:X72" ca="1" si="29">E72+F71</f>
        <v>2.45994288750396</v>
      </c>
      <c r="G72" s="36">
        <f t="shared" ca="1" si="29"/>
        <v>5.0982663604404523</v>
      </c>
      <c r="H72" s="36">
        <f t="shared" ca="1" si="29"/>
        <v>8.4980899201216786</v>
      </c>
      <c r="I72" s="36">
        <f t="shared" ca="1" si="29"/>
        <v>12.559935552465383</v>
      </c>
      <c r="J72" s="36">
        <f t="shared" ca="1" si="29"/>
        <v>16.910207229515521</v>
      </c>
      <c r="K72" s="36">
        <f t="shared" ca="1" si="29"/>
        <v>20.98901076120465</v>
      </c>
      <c r="L72" s="36">
        <f t="shared" ca="1" si="29"/>
        <v>24.810777845905559</v>
      </c>
      <c r="M72" s="36">
        <f t="shared" ca="1" si="29"/>
        <v>28.390391174426156</v>
      </c>
      <c r="N72" s="36">
        <f t="shared" ca="1" si="29"/>
        <v>31.743114803612311</v>
      </c>
      <c r="O72" s="36">
        <f t="shared" ca="1" si="29"/>
        <v>34.884282544320925</v>
      </c>
      <c r="P72" s="36">
        <f t="shared" ca="1" si="29"/>
        <v>37.828874313484832</v>
      </c>
      <c r="Q72" s="36">
        <f t="shared" ca="1" si="29"/>
        <v>40.591115074081081</v>
      </c>
      <c r="R72" s="36">
        <f t="shared" ca="1" si="29"/>
        <v>43.162914853493838</v>
      </c>
      <c r="S72" s="36">
        <f t="shared" ca="1" si="29"/>
        <v>45.578887701302072</v>
      </c>
      <c r="T72" s="36">
        <f t="shared" ca="1" si="29"/>
        <v>47.850356000793496</v>
      </c>
      <c r="U72" s="36">
        <f t="shared" ca="1" si="29"/>
        <v>49.986925969943115</v>
      </c>
      <c r="V72" s="36">
        <f t="shared" ca="1" si="29"/>
        <v>51.997500253328496</v>
      </c>
      <c r="W72" s="36">
        <f t="shared" ca="1" si="29"/>
        <v>53.890475730763114</v>
      </c>
      <c r="X72" s="36">
        <f t="shared" ca="1" si="29"/>
        <v>55.672929946051916</v>
      </c>
      <c r="Y72" s="36"/>
      <c r="AA72" s="36"/>
      <c r="AB72" s="54"/>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ht="15">
      <c r="A75" s="61" t="s">
        <v>69</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ht="15">
      <c r="E76" s="64">
        <f t="shared" ref="E76:X76" si="30">E11</f>
        <v>2016</v>
      </c>
      <c r="F76" s="65">
        <f t="shared" si="30"/>
        <v>2017</v>
      </c>
      <c r="G76" s="65">
        <f t="shared" si="30"/>
        <v>2018</v>
      </c>
      <c r="H76" s="65">
        <f t="shared" si="30"/>
        <v>2019</v>
      </c>
      <c r="I76" s="65">
        <f t="shared" si="30"/>
        <v>2020</v>
      </c>
      <c r="J76" s="65">
        <f t="shared" si="30"/>
        <v>2021</v>
      </c>
      <c r="K76" s="65">
        <f t="shared" si="30"/>
        <v>2022</v>
      </c>
      <c r="L76" s="65">
        <f t="shared" si="30"/>
        <v>2023</v>
      </c>
      <c r="M76" s="65">
        <f t="shared" si="30"/>
        <v>2024</v>
      </c>
      <c r="N76" s="65">
        <f t="shared" si="30"/>
        <v>2025</v>
      </c>
      <c r="O76" s="65">
        <f t="shared" si="30"/>
        <v>2026</v>
      </c>
      <c r="P76" s="65">
        <f t="shared" si="30"/>
        <v>2027</v>
      </c>
      <c r="Q76" s="65">
        <f t="shared" si="30"/>
        <v>2028</v>
      </c>
      <c r="R76" s="65">
        <f t="shared" si="30"/>
        <v>2029</v>
      </c>
      <c r="S76" s="65">
        <f t="shared" si="30"/>
        <v>2030</v>
      </c>
      <c r="T76" s="65">
        <f t="shared" si="30"/>
        <v>2031</v>
      </c>
      <c r="U76" s="65">
        <f t="shared" si="30"/>
        <v>2032</v>
      </c>
      <c r="V76" s="65">
        <f t="shared" si="30"/>
        <v>2033</v>
      </c>
      <c r="W76" s="65">
        <f t="shared" si="30"/>
        <v>2034</v>
      </c>
      <c r="X76" s="65">
        <f t="shared" si="30"/>
        <v>2035</v>
      </c>
      <c r="Y76" s="66" t="s">
        <v>61</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ht="15">
      <c r="C77" s="55" t="s">
        <v>66</v>
      </c>
      <c r="D77" s="55" t="s">
        <v>66</v>
      </c>
      <c r="E77" s="67" t="str">
        <f>CONCATENATE("aMW_",E$11)</f>
        <v>aMW_2016</v>
      </c>
      <c r="F77" s="68" t="str">
        <f t="shared" ref="F77:X77" si="31">CONCATENATE("aMW_",F$11)</f>
        <v>aMW_2017</v>
      </c>
      <c r="G77" s="68" t="str">
        <f t="shared" si="31"/>
        <v>aMW_2018</v>
      </c>
      <c r="H77" s="68" t="str">
        <f t="shared" si="31"/>
        <v>aMW_2019</v>
      </c>
      <c r="I77" s="68" t="str">
        <f t="shared" si="31"/>
        <v>aMW_2020</v>
      </c>
      <c r="J77" s="68" t="str">
        <f t="shared" si="31"/>
        <v>aMW_2021</v>
      </c>
      <c r="K77" s="68" t="str">
        <f t="shared" si="31"/>
        <v>aMW_2022</v>
      </c>
      <c r="L77" s="68" t="str">
        <f t="shared" si="31"/>
        <v>aMW_2023</v>
      </c>
      <c r="M77" s="68" t="str">
        <f t="shared" si="31"/>
        <v>aMW_2024</v>
      </c>
      <c r="N77" s="68" t="str">
        <f t="shared" si="31"/>
        <v>aMW_2025</v>
      </c>
      <c r="O77" s="68" t="str">
        <f t="shared" si="31"/>
        <v>aMW_2026</v>
      </c>
      <c r="P77" s="68" t="str">
        <f t="shared" si="31"/>
        <v>aMW_2027</v>
      </c>
      <c r="Q77" s="68" t="str">
        <f t="shared" si="31"/>
        <v>aMW_2028</v>
      </c>
      <c r="R77" s="68" t="str">
        <f t="shared" si="31"/>
        <v>aMW_2029</v>
      </c>
      <c r="S77" s="68" t="str">
        <f t="shared" si="31"/>
        <v>aMW_2030</v>
      </c>
      <c r="T77" s="68" t="str">
        <f t="shared" si="31"/>
        <v>aMW_2031</v>
      </c>
      <c r="U77" s="68" t="str">
        <f t="shared" si="31"/>
        <v>aMW_2032</v>
      </c>
      <c r="V77" s="68" t="str">
        <f t="shared" si="31"/>
        <v>aMW_2033</v>
      </c>
      <c r="W77" s="68" t="str">
        <f t="shared" si="31"/>
        <v>aMW_2034</v>
      </c>
      <c r="X77" s="68" t="str">
        <f t="shared" si="31"/>
        <v>aMW_2035</v>
      </c>
      <c r="Y77" s="69" t="s">
        <v>61</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B78" s="9" t="s">
        <v>70</v>
      </c>
      <c r="C78" s="56" t="s">
        <v>71</v>
      </c>
      <c r="D78" s="56" t="s">
        <v>72</v>
      </c>
      <c r="E78" s="53">
        <f>DSUM($B$60:$Y$69,E$60,$C$77:$D78)</f>
        <v>0</v>
      </c>
      <c r="F78" s="53">
        <f>DSUM($B$60:$Y$69,F$60,$C$77:$D78)</f>
        <v>0</v>
      </c>
      <c r="G78" s="53">
        <f>DSUM($B$60:$Y$69,G$60,$C$77:$D78)</f>
        <v>0</v>
      </c>
      <c r="H78" s="53">
        <f>DSUM($B$60:$Y$69,H$60,$C$77:$D78)</f>
        <v>0</v>
      </c>
      <c r="I78" s="53">
        <f>DSUM($B$60:$Y$69,I$60,$C$77:$D78)</f>
        <v>0</v>
      </c>
      <c r="J78" s="53">
        <f>DSUM($B$60:$Y$69,J$60,$C$77:$D78)</f>
        <v>0</v>
      </c>
      <c r="K78" s="53">
        <f>DSUM($B$60:$Y$69,K$60,$C$77:$D78)</f>
        <v>0</v>
      </c>
      <c r="L78" s="53">
        <f>DSUM($B$60:$Y$69,L$60,$C$77:$D78)</f>
        <v>0</v>
      </c>
      <c r="M78" s="53">
        <f>DSUM($B$60:$Y$69,M$60,$C$77:$D78)</f>
        <v>0</v>
      </c>
      <c r="N78" s="53">
        <f>DSUM($B$60:$Y$69,N$60,$C$77:$D78)</f>
        <v>0</v>
      </c>
      <c r="O78" s="53">
        <f>DSUM($B$60:$Y$69,O$60,$C$77:$D78)</f>
        <v>0</v>
      </c>
      <c r="P78" s="53">
        <f>DSUM($B$60:$Y$69,P$60,$C$77:$D78)</f>
        <v>0</v>
      </c>
      <c r="Q78" s="53">
        <f>DSUM($B$60:$Y$69,Q$60,$C$77:$D78)</f>
        <v>0</v>
      </c>
      <c r="R78" s="53">
        <f>DSUM($B$60:$Y$69,R$60,$C$77:$D78)</f>
        <v>0</v>
      </c>
      <c r="S78" s="53">
        <f>DSUM($B$60:$Y$69,S$60,$C$77:$D78)</f>
        <v>0</v>
      </c>
      <c r="T78" s="53">
        <f>DSUM($B$60:$Y$69,T$60,$C$77:$D78)</f>
        <v>0</v>
      </c>
      <c r="U78" s="53">
        <f>DSUM($B$60:$Y$69,U$60,$C$77:$D78)</f>
        <v>0</v>
      </c>
      <c r="V78" s="53">
        <f>DSUM($B$60:$Y$69,V$60,$C$77:$D78)</f>
        <v>0</v>
      </c>
      <c r="W78" s="53">
        <f>DSUM($B$60:$Y$69,W$60,$C$77:$D78)</f>
        <v>0</v>
      </c>
      <c r="X78" s="53">
        <f>DSUM($B$60:$Y$69,X$60,$C$77:$D78)</f>
        <v>0</v>
      </c>
      <c r="Y78" s="53">
        <f>DSUM($B$60:$Y$69,Y$60,$C$77:$D78)</f>
        <v>0</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B79" s="9" t="s">
        <v>217</v>
      </c>
      <c r="C79" s="56" t="s">
        <v>73</v>
      </c>
      <c r="D79" s="56" t="s">
        <v>74</v>
      </c>
      <c r="E79" s="53">
        <f>DSUM($B$60:$Y$69,E$60,$C$77:$D79)</f>
        <v>0</v>
      </c>
      <c r="F79" s="53">
        <f>DSUM($B$60:$Y$69,F$60,$C$77:$D79)</f>
        <v>0</v>
      </c>
      <c r="G79" s="53">
        <f>DSUM($B$60:$Y$69,G$60,$C$77:$D79)</f>
        <v>0</v>
      </c>
      <c r="H79" s="53">
        <f>DSUM($B$60:$Y$69,H$60,$C$77:$D79)</f>
        <v>0</v>
      </c>
      <c r="I79" s="53">
        <f>DSUM($B$60:$Y$69,I$60,$C$77:$D79)</f>
        <v>0</v>
      </c>
      <c r="J79" s="53">
        <f>DSUM($B$60:$Y$69,J$60,$C$77:$D79)</f>
        <v>0</v>
      </c>
      <c r="K79" s="53">
        <f>DSUM($B$60:$Y$69,K$60,$C$77:$D79)</f>
        <v>0</v>
      </c>
      <c r="L79" s="53">
        <f>DSUM($B$60:$Y$69,L$60,$C$77:$D79)</f>
        <v>0</v>
      </c>
      <c r="M79" s="53">
        <f>DSUM($B$60:$Y$69,M$60,$C$77:$D79)</f>
        <v>0</v>
      </c>
      <c r="N79" s="53">
        <f>DSUM($B$60:$Y$69,N$60,$C$77:$D79)</f>
        <v>0</v>
      </c>
      <c r="O79" s="53">
        <f>DSUM($B$60:$Y$69,O$60,$C$77:$D79)</f>
        <v>0</v>
      </c>
      <c r="P79" s="53">
        <f>DSUM($B$60:$Y$69,P$60,$C$77:$D79)</f>
        <v>0</v>
      </c>
      <c r="Q79" s="53">
        <f>DSUM($B$60:$Y$69,Q$60,$C$77:$D79)</f>
        <v>0</v>
      </c>
      <c r="R79" s="53">
        <f>DSUM($B$60:$Y$69,R$60,$C$77:$D79)</f>
        <v>0</v>
      </c>
      <c r="S79" s="53">
        <f>DSUM($B$60:$Y$69,S$60,$C$77:$D79)</f>
        <v>0</v>
      </c>
      <c r="T79" s="53">
        <f>DSUM($B$60:$Y$69,T$60,$C$77:$D79)</f>
        <v>0</v>
      </c>
      <c r="U79" s="53">
        <f>DSUM($B$60:$Y$69,U$60,$C$77:$D79)</f>
        <v>0</v>
      </c>
      <c r="V79" s="53">
        <f>DSUM($B$60:$Y$69,V$60,$C$77:$D79)</f>
        <v>0</v>
      </c>
      <c r="W79" s="53">
        <f>DSUM($B$60:$Y$69,W$60,$C$77:$D79)</f>
        <v>0</v>
      </c>
      <c r="X79" s="53">
        <f>DSUM($B$60:$Y$69,X$60,$C$77:$D79)</f>
        <v>0</v>
      </c>
      <c r="Y79" s="53">
        <f>DSUM($B$60:$Y$69,Y$60,$C$77:$D79)</f>
        <v>0</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B80" s="9" t="s">
        <v>75</v>
      </c>
      <c r="C80" s="56" t="s">
        <v>76</v>
      </c>
      <c r="D80" s="56" t="s">
        <v>77</v>
      </c>
      <c r="E80" s="53">
        <f>DSUM($B$60:$Y$69,E$60,$C$77:$D80)</f>
        <v>0</v>
      </c>
      <c r="F80" s="53">
        <f>DSUM($B$60:$Y$69,F$60,$C$77:$D80)</f>
        <v>0</v>
      </c>
      <c r="G80" s="53">
        <f>DSUM($B$60:$Y$69,G$60,$C$77:$D80)</f>
        <v>0</v>
      </c>
      <c r="H80" s="53">
        <f>DSUM($B$60:$Y$69,H$60,$C$77:$D80)</f>
        <v>0</v>
      </c>
      <c r="I80" s="53">
        <f>DSUM($B$60:$Y$69,I$60,$C$77:$D80)</f>
        <v>0</v>
      </c>
      <c r="J80" s="53">
        <f>DSUM($B$60:$Y$69,J$60,$C$77:$D80)</f>
        <v>0</v>
      </c>
      <c r="K80" s="53">
        <f>DSUM($B$60:$Y$69,K$60,$C$77:$D80)</f>
        <v>0</v>
      </c>
      <c r="L80" s="53">
        <f>DSUM($B$60:$Y$69,L$60,$C$77:$D80)</f>
        <v>0</v>
      </c>
      <c r="M80" s="53">
        <f>DSUM($B$60:$Y$69,M$60,$C$77:$D80)</f>
        <v>0</v>
      </c>
      <c r="N80" s="53">
        <f>DSUM($B$60:$Y$69,N$60,$C$77:$D80)</f>
        <v>0</v>
      </c>
      <c r="O80" s="53">
        <f>DSUM($B$60:$Y$69,O$60,$C$77:$D80)</f>
        <v>0</v>
      </c>
      <c r="P80" s="53">
        <f>DSUM($B$60:$Y$69,P$60,$C$77:$D80)</f>
        <v>0</v>
      </c>
      <c r="Q80" s="53">
        <f>DSUM($B$60:$Y$69,Q$60,$C$77:$D80)</f>
        <v>0</v>
      </c>
      <c r="R80" s="53">
        <f>DSUM($B$60:$Y$69,R$60,$C$77:$D80)</f>
        <v>0</v>
      </c>
      <c r="S80" s="53">
        <f>DSUM($B$60:$Y$69,S$60,$C$77:$D80)</f>
        <v>0</v>
      </c>
      <c r="T80" s="53">
        <f>DSUM($B$60:$Y$69,T$60,$C$77:$D80)</f>
        <v>0</v>
      </c>
      <c r="U80" s="53">
        <f>DSUM($B$60:$Y$69,U$60,$C$77:$D80)</f>
        <v>0</v>
      </c>
      <c r="V80" s="53">
        <f>DSUM($B$60:$Y$69,V$60,$C$77:$D80)</f>
        <v>0</v>
      </c>
      <c r="W80" s="53">
        <f>DSUM($B$60:$Y$69,W$60,$C$77:$D80)</f>
        <v>0</v>
      </c>
      <c r="X80" s="53">
        <f>DSUM($B$60:$Y$69,X$60,$C$77:$D80)</f>
        <v>0</v>
      </c>
      <c r="Y80" s="53">
        <f>DSUM($B$60:$Y$69,Y$60,$C$77:$D80)</f>
        <v>0</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c r="B81" s="9" t="s">
        <v>78</v>
      </c>
      <c r="C81" s="56" t="s">
        <v>79</v>
      </c>
      <c r="D81" s="56" t="s">
        <v>80</v>
      </c>
      <c r="E81" s="53">
        <f>DSUM($B$60:$Y$69,E$60,$C$77:$D81)</f>
        <v>0</v>
      </c>
      <c r="F81" s="53">
        <f>DSUM($B$60:$Y$69,F$60,$C$77:$D81)</f>
        <v>0</v>
      </c>
      <c r="G81" s="53">
        <f>DSUM($B$60:$Y$69,G$60,$C$77:$D81)</f>
        <v>0</v>
      </c>
      <c r="H81" s="53">
        <f>DSUM($B$60:$Y$69,H$60,$C$77:$D81)</f>
        <v>0</v>
      </c>
      <c r="I81" s="53">
        <f>DSUM($B$60:$Y$69,I$60,$C$77:$D81)</f>
        <v>0</v>
      </c>
      <c r="J81" s="53">
        <f>DSUM($B$60:$Y$69,J$60,$C$77:$D81)</f>
        <v>0</v>
      </c>
      <c r="K81" s="53">
        <f>DSUM($B$60:$Y$69,K$60,$C$77:$D81)</f>
        <v>0</v>
      </c>
      <c r="L81" s="53">
        <f>DSUM($B$60:$Y$69,L$60,$C$77:$D81)</f>
        <v>0</v>
      </c>
      <c r="M81" s="53">
        <f>DSUM($B$60:$Y$69,M$60,$C$77:$D81)</f>
        <v>0</v>
      </c>
      <c r="N81" s="53">
        <f>DSUM($B$60:$Y$69,N$60,$C$77:$D81)</f>
        <v>0</v>
      </c>
      <c r="O81" s="53">
        <f>DSUM($B$60:$Y$69,O$60,$C$77:$D81)</f>
        <v>0</v>
      </c>
      <c r="P81" s="53">
        <f>DSUM($B$60:$Y$69,P$60,$C$77:$D81)</f>
        <v>0</v>
      </c>
      <c r="Q81" s="53">
        <f>DSUM($B$60:$Y$69,Q$60,$C$77:$D81)</f>
        <v>0</v>
      </c>
      <c r="R81" s="53">
        <f>DSUM($B$60:$Y$69,R$60,$C$77:$D81)</f>
        <v>0</v>
      </c>
      <c r="S81" s="53">
        <f>DSUM($B$60:$Y$69,S$60,$C$77:$D81)</f>
        <v>0</v>
      </c>
      <c r="T81" s="53">
        <f>DSUM($B$60:$Y$69,T$60,$C$77:$D81)</f>
        <v>0</v>
      </c>
      <c r="U81" s="53">
        <f>DSUM($B$60:$Y$69,U$60,$C$77:$D81)</f>
        <v>0</v>
      </c>
      <c r="V81" s="53">
        <f>DSUM($B$60:$Y$69,V$60,$C$77:$D81)</f>
        <v>0</v>
      </c>
      <c r="W81" s="53">
        <f>DSUM($B$60:$Y$69,W$60,$C$77:$D81)</f>
        <v>0</v>
      </c>
      <c r="X81" s="53">
        <f>DSUM($B$60:$Y$69,X$60,$C$77:$D81)</f>
        <v>0</v>
      </c>
      <c r="Y81" s="53">
        <f>DSUM($B$60:$Y$69,Y$60,$C$77:$D81)</f>
        <v>0</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9" t="s">
        <v>81</v>
      </c>
      <c r="C82" s="56" t="s">
        <v>82</v>
      </c>
      <c r="D82" s="56" t="s">
        <v>83</v>
      </c>
      <c r="E82" s="53">
        <f>DSUM($B$60:$Y$69,E$60,$C$77:$D82)</f>
        <v>0</v>
      </c>
      <c r="F82" s="53">
        <f>DSUM($B$60:$Y$69,F$60,$C$77:$D82)</f>
        <v>0</v>
      </c>
      <c r="G82" s="53">
        <f>DSUM($B$60:$Y$69,G$60,$C$77:$D82)</f>
        <v>0</v>
      </c>
      <c r="H82" s="53">
        <f>DSUM($B$60:$Y$69,H$60,$C$77:$D82)</f>
        <v>0</v>
      </c>
      <c r="I82" s="53">
        <f>DSUM($B$60:$Y$69,I$60,$C$77:$D82)</f>
        <v>0</v>
      </c>
      <c r="J82" s="53">
        <f>DSUM($B$60:$Y$69,J$60,$C$77:$D82)</f>
        <v>0</v>
      </c>
      <c r="K82" s="53">
        <f>DSUM($B$60:$Y$69,K$60,$C$77:$D82)</f>
        <v>0</v>
      </c>
      <c r="L82" s="53">
        <f>DSUM($B$60:$Y$69,L$60,$C$77:$D82)</f>
        <v>0</v>
      </c>
      <c r="M82" s="53">
        <f>DSUM($B$60:$Y$69,M$60,$C$77:$D82)</f>
        <v>0</v>
      </c>
      <c r="N82" s="53">
        <f>DSUM($B$60:$Y$69,N$60,$C$77:$D82)</f>
        <v>0</v>
      </c>
      <c r="O82" s="53">
        <f>DSUM($B$60:$Y$69,O$60,$C$77:$D82)</f>
        <v>0</v>
      </c>
      <c r="P82" s="53">
        <f>DSUM($B$60:$Y$69,P$60,$C$77:$D82)</f>
        <v>0</v>
      </c>
      <c r="Q82" s="53">
        <f>DSUM($B$60:$Y$69,Q$60,$C$77:$D82)</f>
        <v>0</v>
      </c>
      <c r="R82" s="53">
        <f>DSUM($B$60:$Y$69,R$60,$C$77:$D82)</f>
        <v>0</v>
      </c>
      <c r="S82" s="53">
        <f>DSUM($B$60:$Y$69,S$60,$C$77:$D82)</f>
        <v>0</v>
      </c>
      <c r="T82" s="53">
        <f>DSUM($B$60:$Y$69,T$60,$C$77:$D82)</f>
        <v>0</v>
      </c>
      <c r="U82" s="53">
        <f>DSUM($B$60:$Y$69,U$60,$C$77:$D82)</f>
        <v>0</v>
      </c>
      <c r="V82" s="53">
        <f>DSUM($B$60:$Y$69,V$60,$C$77:$D82)</f>
        <v>0</v>
      </c>
      <c r="W82" s="53">
        <f>DSUM($B$60:$Y$69,W$60,$C$77:$D82)</f>
        <v>0</v>
      </c>
      <c r="X82" s="53">
        <f>DSUM($B$60:$Y$69,X$60,$C$77:$D82)</f>
        <v>0</v>
      </c>
      <c r="Y82" s="53">
        <f>DSUM($B$60:$Y$69,Y$60,$C$77:$D82)</f>
        <v>0</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9" t="s">
        <v>84</v>
      </c>
      <c r="C83" s="56" t="s">
        <v>85</v>
      </c>
      <c r="D83" s="56" t="s">
        <v>86</v>
      </c>
      <c r="E83" s="53">
        <f>DSUM($B$60:$Y$69,E$60,$C$77:$D83)</f>
        <v>0</v>
      </c>
      <c r="F83" s="53">
        <f>DSUM($B$60:$Y$69,F$60,$C$77:$D83)</f>
        <v>0</v>
      </c>
      <c r="G83" s="53">
        <f>DSUM($B$60:$Y$69,G$60,$C$77:$D83)</f>
        <v>0</v>
      </c>
      <c r="H83" s="53">
        <f>DSUM($B$60:$Y$69,H$60,$C$77:$D83)</f>
        <v>0</v>
      </c>
      <c r="I83" s="53">
        <f>DSUM($B$60:$Y$69,I$60,$C$77:$D83)</f>
        <v>0</v>
      </c>
      <c r="J83" s="53">
        <f>DSUM($B$60:$Y$69,J$60,$C$77:$D83)</f>
        <v>0</v>
      </c>
      <c r="K83" s="53">
        <f>DSUM($B$60:$Y$69,K$60,$C$77:$D83)</f>
        <v>0</v>
      </c>
      <c r="L83" s="53">
        <f>DSUM($B$60:$Y$69,L$60,$C$77:$D83)</f>
        <v>0</v>
      </c>
      <c r="M83" s="53">
        <f>DSUM($B$60:$Y$69,M$60,$C$77:$D83)</f>
        <v>0</v>
      </c>
      <c r="N83" s="53">
        <f>DSUM($B$60:$Y$69,N$60,$C$77:$D83)</f>
        <v>0</v>
      </c>
      <c r="O83" s="53">
        <f>DSUM($B$60:$Y$69,O$60,$C$77:$D83)</f>
        <v>0</v>
      </c>
      <c r="P83" s="53">
        <f>DSUM($B$60:$Y$69,P$60,$C$77:$D83)</f>
        <v>0</v>
      </c>
      <c r="Q83" s="53">
        <f>DSUM($B$60:$Y$69,Q$60,$C$77:$D83)</f>
        <v>0</v>
      </c>
      <c r="R83" s="53">
        <f>DSUM($B$60:$Y$69,R$60,$C$77:$D83)</f>
        <v>0</v>
      </c>
      <c r="S83" s="53">
        <f>DSUM($B$60:$Y$69,S$60,$C$77:$D83)</f>
        <v>0</v>
      </c>
      <c r="T83" s="53">
        <f>DSUM($B$60:$Y$69,T$60,$C$77:$D83)</f>
        <v>0</v>
      </c>
      <c r="U83" s="53">
        <f>DSUM($B$60:$Y$69,U$60,$C$77:$D83)</f>
        <v>0</v>
      </c>
      <c r="V83" s="53">
        <f>DSUM($B$60:$Y$69,V$60,$C$77:$D83)</f>
        <v>0</v>
      </c>
      <c r="W83" s="53">
        <f>DSUM($B$60:$Y$69,W$60,$C$77:$D83)</f>
        <v>0</v>
      </c>
      <c r="X83" s="53">
        <f>DSUM($B$60:$Y$69,X$60,$C$77:$D83)</f>
        <v>0</v>
      </c>
      <c r="Y83" s="53">
        <f>DSUM($B$60:$Y$69,Y$60,$C$77:$D83)</f>
        <v>0</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9" t="s">
        <v>87</v>
      </c>
      <c r="C84" s="56" t="s">
        <v>88</v>
      </c>
      <c r="D84" s="56" t="s">
        <v>89</v>
      </c>
      <c r="E84" s="53">
        <f>DSUM($B$60:$Y$69,E$60,$C$77:$D84)</f>
        <v>0</v>
      </c>
      <c r="F84" s="53">
        <f>DSUM($B$60:$Y$69,F$60,$C$77:$D84)</f>
        <v>0</v>
      </c>
      <c r="G84" s="53">
        <f>DSUM($B$60:$Y$69,G$60,$C$77:$D84)</f>
        <v>0</v>
      </c>
      <c r="H84" s="53">
        <f>DSUM($B$60:$Y$69,H$60,$C$77:$D84)</f>
        <v>0</v>
      </c>
      <c r="I84" s="53">
        <f>DSUM($B$60:$Y$69,I$60,$C$77:$D84)</f>
        <v>0</v>
      </c>
      <c r="J84" s="53">
        <f>DSUM($B$60:$Y$69,J$60,$C$77:$D84)</f>
        <v>0</v>
      </c>
      <c r="K84" s="53">
        <f>DSUM($B$60:$Y$69,K$60,$C$77:$D84)</f>
        <v>0</v>
      </c>
      <c r="L84" s="53">
        <f>DSUM($B$60:$Y$69,L$60,$C$77:$D84)</f>
        <v>0</v>
      </c>
      <c r="M84" s="53">
        <f>DSUM($B$60:$Y$69,M$60,$C$77:$D84)</f>
        <v>0</v>
      </c>
      <c r="N84" s="53">
        <f>DSUM($B$60:$Y$69,N$60,$C$77:$D84)</f>
        <v>0</v>
      </c>
      <c r="O84" s="53">
        <f>DSUM($B$60:$Y$69,O$60,$C$77:$D84)</f>
        <v>0</v>
      </c>
      <c r="P84" s="53">
        <f>DSUM($B$60:$Y$69,P$60,$C$77:$D84)</f>
        <v>0</v>
      </c>
      <c r="Q84" s="53">
        <f>DSUM($B$60:$Y$69,Q$60,$C$77:$D84)</f>
        <v>0</v>
      </c>
      <c r="R84" s="53">
        <f>DSUM($B$60:$Y$69,R$60,$C$77:$D84)</f>
        <v>0</v>
      </c>
      <c r="S84" s="53">
        <f>DSUM($B$60:$Y$69,S$60,$C$77:$D84)</f>
        <v>0</v>
      </c>
      <c r="T84" s="53">
        <f>DSUM($B$60:$Y$69,T$60,$C$77:$D84)</f>
        <v>0</v>
      </c>
      <c r="U84" s="53">
        <f>DSUM($B$60:$Y$69,U$60,$C$77:$D84)</f>
        <v>0</v>
      </c>
      <c r="V84" s="53">
        <f>DSUM($B$60:$Y$69,V$60,$C$77:$D84)</f>
        <v>0</v>
      </c>
      <c r="W84" s="53">
        <f>DSUM($B$60:$Y$69,W$60,$C$77:$D84)</f>
        <v>0</v>
      </c>
      <c r="X84" s="53">
        <f>DSUM($B$60:$Y$69,X$60,$C$77:$D84)</f>
        <v>0</v>
      </c>
      <c r="Y84" s="53">
        <f>DSUM($B$60:$Y$69,Y$60,$C$77:$D84)</f>
        <v>0</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9" t="s">
        <v>90</v>
      </c>
      <c r="C85" s="56" t="s">
        <v>91</v>
      </c>
      <c r="D85" s="56" t="s">
        <v>92</v>
      </c>
      <c r="E85" s="53">
        <f>DSUM($B$60:$Y$69,E$60,$C$77:$D85)</f>
        <v>0</v>
      </c>
      <c r="F85" s="53">
        <f>DSUM($B$60:$Y$69,F$60,$C$77:$D85)</f>
        <v>0</v>
      </c>
      <c r="G85" s="53">
        <f>DSUM($B$60:$Y$69,G$60,$C$77:$D85)</f>
        <v>0</v>
      </c>
      <c r="H85" s="53">
        <f>DSUM($B$60:$Y$69,H$60,$C$77:$D85)</f>
        <v>0</v>
      </c>
      <c r="I85" s="53">
        <f>DSUM($B$60:$Y$69,I$60,$C$77:$D85)</f>
        <v>0</v>
      </c>
      <c r="J85" s="53">
        <f>DSUM($B$60:$Y$69,J$60,$C$77:$D85)</f>
        <v>0</v>
      </c>
      <c r="K85" s="53">
        <f>DSUM($B$60:$Y$69,K$60,$C$77:$D85)</f>
        <v>0</v>
      </c>
      <c r="L85" s="53">
        <f>DSUM($B$60:$Y$69,L$60,$C$77:$D85)</f>
        <v>0</v>
      </c>
      <c r="M85" s="53">
        <f>DSUM($B$60:$Y$69,M$60,$C$77:$D85)</f>
        <v>0</v>
      </c>
      <c r="N85" s="53">
        <f>DSUM($B$60:$Y$69,N$60,$C$77:$D85)</f>
        <v>0</v>
      </c>
      <c r="O85" s="53">
        <f>DSUM($B$60:$Y$69,O$60,$C$77:$D85)</f>
        <v>0</v>
      </c>
      <c r="P85" s="53">
        <f>DSUM($B$60:$Y$69,P$60,$C$77:$D85)</f>
        <v>0</v>
      </c>
      <c r="Q85" s="53">
        <f>DSUM($B$60:$Y$69,Q$60,$C$77:$D85)</f>
        <v>0</v>
      </c>
      <c r="R85" s="53">
        <f>DSUM($B$60:$Y$69,R$60,$C$77:$D85)</f>
        <v>0</v>
      </c>
      <c r="S85" s="53">
        <f>DSUM($B$60:$Y$69,S$60,$C$77:$D85)</f>
        <v>0</v>
      </c>
      <c r="T85" s="53">
        <f>DSUM($B$60:$Y$69,T$60,$C$77:$D85)</f>
        <v>0</v>
      </c>
      <c r="U85" s="53">
        <f>DSUM($B$60:$Y$69,U$60,$C$77:$D85)</f>
        <v>0</v>
      </c>
      <c r="V85" s="53">
        <f>DSUM($B$60:$Y$69,V$60,$C$77:$D85)</f>
        <v>0</v>
      </c>
      <c r="W85" s="53">
        <f>DSUM($B$60:$Y$69,W$60,$C$77:$D85)</f>
        <v>0</v>
      </c>
      <c r="X85" s="53">
        <f>DSUM($B$60:$Y$69,X$60,$C$77:$D85)</f>
        <v>0</v>
      </c>
      <c r="Y85" s="53">
        <f>DSUM($B$60:$Y$69,Y$60,$C$77:$D85)</f>
        <v>0</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9" t="s">
        <v>93</v>
      </c>
      <c r="C86" s="56" t="s">
        <v>94</v>
      </c>
      <c r="D86" s="56" t="s">
        <v>95</v>
      </c>
      <c r="E86" s="53">
        <f>DSUM($B$60:$Y$69,E$60,$C$77:$D86)</f>
        <v>0</v>
      </c>
      <c r="F86" s="53">
        <f>DSUM($B$60:$Y$69,F$60,$C$77:$D86)</f>
        <v>0</v>
      </c>
      <c r="G86" s="53">
        <f>DSUM($B$60:$Y$69,G$60,$C$77:$D86)</f>
        <v>0</v>
      </c>
      <c r="H86" s="53">
        <f>DSUM($B$60:$Y$69,H$60,$C$77:$D86)</f>
        <v>0</v>
      </c>
      <c r="I86" s="53">
        <f>DSUM($B$60:$Y$69,I$60,$C$77:$D86)</f>
        <v>0</v>
      </c>
      <c r="J86" s="53">
        <f>DSUM($B$60:$Y$69,J$60,$C$77:$D86)</f>
        <v>0</v>
      </c>
      <c r="K86" s="53">
        <f>DSUM($B$60:$Y$69,K$60,$C$77:$D86)</f>
        <v>0</v>
      </c>
      <c r="L86" s="53">
        <f>DSUM($B$60:$Y$69,L$60,$C$77:$D86)</f>
        <v>0</v>
      </c>
      <c r="M86" s="53">
        <f>DSUM($B$60:$Y$69,M$60,$C$77:$D86)</f>
        <v>0</v>
      </c>
      <c r="N86" s="53">
        <f>DSUM($B$60:$Y$69,N$60,$C$77:$D86)</f>
        <v>0</v>
      </c>
      <c r="O86" s="53">
        <f>DSUM($B$60:$Y$69,O$60,$C$77:$D86)</f>
        <v>0</v>
      </c>
      <c r="P86" s="53">
        <f>DSUM($B$60:$Y$69,P$60,$C$77:$D86)</f>
        <v>0</v>
      </c>
      <c r="Q86" s="53">
        <f>DSUM($B$60:$Y$69,Q$60,$C$77:$D86)</f>
        <v>0</v>
      </c>
      <c r="R86" s="53">
        <f>DSUM($B$60:$Y$69,R$60,$C$77:$D86)</f>
        <v>0</v>
      </c>
      <c r="S86" s="53">
        <f>DSUM($B$60:$Y$69,S$60,$C$77:$D86)</f>
        <v>0</v>
      </c>
      <c r="T86" s="53">
        <f>DSUM($B$60:$Y$69,T$60,$C$77:$D86)</f>
        <v>0</v>
      </c>
      <c r="U86" s="53">
        <f>DSUM($B$60:$Y$69,U$60,$C$77:$D86)</f>
        <v>0</v>
      </c>
      <c r="V86" s="53">
        <f>DSUM($B$60:$Y$69,V$60,$C$77:$D86)</f>
        <v>0</v>
      </c>
      <c r="W86" s="53">
        <f>DSUM($B$60:$Y$69,W$60,$C$77:$D86)</f>
        <v>0</v>
      </c>
      <c r="X86" s="53">
        <f>DSUM($B$60:$Y$69,X$60,$C$77:$D86)</f>
        <v>0</v>
      </c>
      <c r="Y86" s="53">
        <f>DSUM($B$60:$Y$69,Y$60,$C$77:$D86)</f>
        <v>0</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9" t="s">
        <v>96</v>
      </c>
      <c r="C87" s="56" t="s">
        <v>97</v>
      </c>
      <c r="D87" s="56" t="s">
        <v>98</v>
      </c>
      <c r="E87" s="53">
        <f>DSUM($B$60:$Y$69,E$60,$C$77:$D87)</f>
        <v>0</v>
      </c>
      <c r="F87" s="53">
        <f>DSUM($B$60:$Y$69,F$60,$C$77:$D87)</f>
        <v>0</v>
      </c>
      <c r="G87" s="53">
        <f>DSUM($B$60:$Y$69,G$60,$C$77:$D87)</f>
        <v>0</v>
      </c>
      <c r="H87" s="53">
        <f>DSUM($B$60:$Y$69,H$60,$C$77:$D87)</f>
        <v>0</v>
      </c>
      <c r="I87" s="53">
        <f>DSUM($B$60:$Y$69,I$60,$C$77:$D87)</f>
        <v>0</v>
      </c>
      <c r="J87" s="53">
        <f>DSUM($B$60:$Y$69,J$60,$C$77:$D87)</f>
        <v>0</v>
      </c>
      <c r="K87" s="53">
        <f>DSUM($B$60:$Y$69,K$60,$C$77:$D87)</f>
        <v>0</v>
      </c>
      <c r="L87" s="53">
        <f>DSUM($B$60:$Y$69,L$60,$C$77:$D87)</f>
        <v>0</v>
      </c>
      <c r="M87" s="53">
        <f>DSUM($B$60:$Y$69,M$60,$C$77:$D87)</f>
        <v>0</v>
      </c>
      <c r="N87" s="53">
        <f>DSUM($B$60:$Y$69,N$60,$C$77:$D87)</f>
        <v>0</v>
      </c>
      <c r="O87" s="53">
        <f>DSUM($B$60:$Y$69,O$60,$C$77:$D87)</f>
        <v>0</v>
      </c>
      <c r="P87" s="53">
        <f>DSUM($B$60:$Y$69,P$60,$C$77:$D87)</f>
        <v>0</v>
      </c>
      <c r="Q87" s="53">
        <f>DSUM($B$60:$Y$69,Q$60,$C$77:$D87)</f>
        <v>0</v>
      </c>
      <c r="R87" s="53">
        <f>DSUM($B$60:$Y$69,R$60,$C$77:$D87)</f>
        <v>0</v>
      </c>
      <c r="S87" s="53">
        <f>DSUM($B$60:$Y$69,S$60,$C$77:$D87)</f>
        <v>0</v>
      </c>
      <c r="T87" s="53">
        <f>DSUM($B$60:$Y$69,T$60,$C$77:$D87)</f>
        <v>0</v>
      </c>
      <c r="U87" s="53">
        <f>DSUM($B$60:$Y$69,U$60,$C$77:$D87)</f>
        <v>0</v>
      </c>
      <c r="V87" s="53">
        <f>DSUM($B$60:$Y$69,V$60,$C$77:$D87)</f>
        <v>0</v>
      </c>
      <c r="W87" s="53">
        <f>DSUM($B$60:$Y$69,W$60,$C$77:$D87)</f>
        <v>0</v>
      </c>
      <c r="X87" s="53">
        <f>DSUM($B$60:$Y$69,X$60,$C$77:$D87)</f>
        <v>0</v>
      </c>
      <c r="Y87" s="53">
        <f>DSUM($B$60:$Y$69,Y$60,$C$77:$D87)</f>
        <v>0</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9" t="s">
        <v>99</v>
      </c>
      <c r="C88" s="56" t="s">
        <v>100</v>
      </c>
      <c r="D88" s="56" t="s">
        <v>101</v>
      </c>
      <c r="E88" s="53">
        <f>DSUM($B$60:$Y$69,E$60,$C$77:$D88)</f>
        <v>0</v>
      </c>
      <c r="F88" s="53">
        <f>DSUM($B$60:$Y$69,F$60,$C$77:$D88)</f>
        <v>0</v>
      </c>
      <c r="G88" s="53">
        <f>DSUM($B$60:$Y$69,G$60,$C$77:$D88)</f>
        <v>0</v>
      </c>
      <c r="H88" s="53">
        <f>DSUM($B$60:$Y$69,H$60,$C$77:$D88)</f>
        <v>0</v>
      </c>
      <c r="I88" s="53">
        <f>DSUM($B$60:$Y$69,I$60,$C$77:$D88)</f>
        <v>0</v>
      </c>
      <c r="J88" s="53">
        <f>DSUM($B$60:$Y$69,J$60,$C$77:$D88)</f>
        <v>0</v>
      </c>
      <c r="K88" s="53">
        <f>DSUM($B$60:$Y$69,K$60,$C$77:$D88)</f>
        <v>0</v>
      </c>
      <c r="L88" s="53">
        <f>DSUM($B$60:$Y$69,L$60,$C$77:$D88)</f>
        <v>0</v>
      </c>
      <c r="M88" s="53">
        <f>DSUM($B$60:$Y$69,M$60,$C$77:$D88)</f>
        <v>0</v>
      </c>
      <c r="N88" s="53">
        <f>DSUM($B$60:$Y$69,N$60,$C$77:$D88)</f>
        <v>0</v>
      </c>
      <c r="O88" s="53">
        <f>DSUM($B$60:$Y$69,O$60,$C$77:$D88)</f>
        <v>0</v>
      </c>
      <c r="P88" s="53">
        <f>DSUM($B$60:$Y$69,P$60,$C$77:$D88)</f>
        <v>0</v>
      </c>
      <c r="Q88" s="53">
        <f>DSUM($B$60:$Y$69,Q$60,$C$77:$D88)</f>
        <v>0</v>
      </c>
      <c r="R88" s="53">
        <f>DSUM($B$60:$Y$69,R$60,$C$77:$D88)</f>
        <v>0</v>
      </c>
      <c r="S88" s="53">
        <f>DSUM($B$60:$Y$69,S$60,$C$77:$D88)</f>
        <v>0</v>
      </c>
      <c r="T88" s="53">
        <f>DSUM($B$60:$Y$69,T$60,$C$77:$D88)</f>
        <v>0</v>
      </c>
      <c r="U88" s="53">
        <f>DSUM($B$60:$Y$69,U$60,$C$77:$D88)</f>
        <v>0</v>
      </c>
      <c r="V88" s="53">
        <f>DSUM($B$60:$Y$69,V$60,$C$77:$D88)</f>
        <v>0</v>
      </c>
      <c r="W88" s="53">
        <f>DSUM($B$60:$Y$69,W$60,$C$77:$D88)</f>
        <v>0</v>
      </c>
      <c r="X88" s="53">
        <f>DSUM($B$60:$Y$69,X$60,$C$77:$D88)</f>
        <v>0</v>
      </c>
      <c r="Y88" s="53">
        <f>DSUM($B$60:$Y$69,Y$60,$C$77:$D88)</f>
        <v>0</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9" t="s">
        <v>102</v>
      </c>
      <c r="C89" s="56" t="s">
        <v>103</v>
      </c>
      <c r="D89" s="56" t="s">
        <v>104</v>
      </c>
      <c r="E89" s="53">
        <f>DSUM($B$60:$Y$69,E$60,$C$77:$D89)</f>
        <v>0</v>
      </c>
      <c r="F89" s="53">
        <f>DSUM($B$60:$Y$69,F$60,$C$77:$D89)</f>
        <v>0</v>
      </c>
      <c r="G89" s="53">
        <f>DSUM($B$60:$Y$69,G$60,$C$77:$D89)</f>
        <v>0</v>
      </c>
      <c r="H89" s="53">
        <f>DSUM($B$60:$Y$69,H$60,$C$77:$D89)</f>
        <v>0</v>
      </c>
      <c r="I89" s="53">
        <f>DSUM($B$60:$Y$69,I$60,$C$77:$D89)</f>
        <v>0</v>
      </c>
      <c r="J89" s="53">
        <f>DSUM($B$60:$Y$69,J$60,$C$77:$D89)</f>
        <v>0</v>
      </c>
      <c r="K89" s="53">
        <f>DSUM($B$60:$Y$69,K$60,$C$77:$D89)</f>
        <v>0</v>
      </c>
      <c r="L89" s="53">
        <f>DSUM($B$60:$Y$69,L$60,$C$77:$D89)</f>
        <v>0</v>
      </c>
      <c r="M89" s="53">
        <f>DSUM($B$60:$Y$69,M$60,$C$77:$D89)</f>
        <v>0</v>
      </c>
      <c r="N89" s="53">
        <f>DSUM($B$60:$Y$69,N$60,$C$77:$D89)</f>
        <v>0</v>
      </c>
      <c r="O89" s="53">
        <f>DSUM($B$60:$Y$69,O$60,$C$77:$D89)</f>
        <v>0</v>
      </c>
      <c r="P89" s="53">
        <f>DSUM($B$60:$Y$69,P$60,$C$77:$D89)</f>
        <v>0</v>
      </c>
      <c r="Q89" s="53">
        <f>DSUM($B$60:$Y$69,Q$60,$C$77:$D89)</f>
        <v>0</v>
      </c>
      <c r="R89" s="53">
        <f>DSUM($B$60:$Y$69,R$60,$C$77:$D89)</f>
        <v>0</v>
      </c>
      <c r="S89" s="53">
        <f>DSUM($B$60:$Y$69,S$60,$C$77:$D89)</f>
        <v>0</v>
      </c>
      <c r="T89" s="53">
        <f>DSUM($B$60:$Y$69,T$60,$C$77:$D89)</f>
        <v>0</v>
      </c>
      <c r="U89" s="53">
        <f>DSUM($B$60:$Y$69,U$60,$C$77:$D89)</f>
        <v>0</v>
      </c>
      <c r="V89" s="53">
        <f>DSUM($B$60:$Y$69,V$60,$C$77:$D89)</f>
        <v>0</v>
      </c>
      <c r="W89" s="53">
        <f>DSUM($B$60:$Y$69,W$60,$C$77:$D89)</f>
        <v>0</v>
      </c>
      <c r="X89" s="53">
        <f>DSUM($B$60:$Y$69,X$60,$C$77:$D89)</f>
        <v>0</v>
      </c>
      <c r="Y89" s="53">
        <f>DSUM($B$60:$Y$69,Y$60,$C$77:$D89)</f>
        <v>0</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9" t="s">
        <v>105</v>
      </c>
      <c r="C90" s="56" t="s">
        <v>106</v>
      </c>
      <c r="D90" s="56" t="s">
        <v>107</v>
      </c>
      <c r="E90" s="53">
        <f>DSUM($B$60:$Y$69,E$60,$C$77:$D90)</f>
        <v>0</v>
      </c>
      <c r="F90" s="53">
        <f>DSUM($B$60:$Y$69,F$60,$C$77:$D90)</f>
        <v>0</v>
      </c>
      <c r="G90" s="53">
        <f>DSUM($B$60:$Y$69,G$60,$C$77:$D90)</f>
        <v>0</v>
      </c>
      <c r="H90" s="53">
        <f>DSUM($B$60:$Y$69,H$60,$C$77:$D90)</f>
        <v>0</v>
      </c>
      <c r="I90" s="53">
        <f>DSUM($B$60:$Y$69,I$60,$C$77:$D90)</f>
        <v>0</v>
      </c>
      <c r="J90" s="53">
        <f>DSUM($B$60:$Y$69,J$60,$C$77:$D90)</f>
        <v>0</v>
      </c>
      <c r="K90" s="53">
        <f>DSUM($B$60:$Y$69,K$60,$C$77:$D90)</f>
        <v>0</v>
      </c>
      <c r="L90" s="53">
        <f>DSUM($B$60:$Y$69,L$60,$C$77:$D90)</f>
        <v>0</v>
      </c>
      <c r="M90" s="53">
        <f>DSUM($B$60:$Y$69,M$60,$C$77:$D90)</f>
        <v>0</v>
      </c>
      <c r="N90" s="53">
        <f>DSUM($B$60:$Y$69,N$60,$C$77:$D90)</f>
        <v>0</v>
      </c>
      <c r="O90" s="53">
        <f>DSUM($B$60:$Y$69,O$60,$C$77:$D90)</f>
        <v>0</v>
      </c>
      <c r="P90" s="53">
        <f>DSUM($B$60:$Y$69,P$60,$C$77:$D90)</f>
        <v>0</v>
      </c>
      <c r="Q90" s="53">
        <f>DSUM($B$60:$Y$69,Q$60,$C$77:$D90)</f>
        <v>0</v>
      </c>
      <c r="R90" s="53">
        <f>DSUM($B$60:$Y$69,R$60,$C$77:$D90)</f>
        <v>0</v>
      </c>
      <c r="S90" s="53">
        <f>DSUM($B$60:$Y$69,S$60,$C$77:$D90)</f>
        <v>0</v>
      </c>
      <c r="T90" s="53">
        <f>DSUM($B$60:$Y$69,T$60,$C$77:$D90)</f>
        <v>0</v>
      </c>
      <c r="U90" s="53">
        <f>DSUM($B$60:$Y$69,U$60,$C$77:$D90)</f>
        <v>0</v>
      </c>
      <c r="V90" s="53">
        <f>DSUM($B$60:$Y$69,V$60,$C$77:$D90)</f>
        <v>0</v>
      </c>
      <c r="W90" s="53">
        <f>DSUM($B$60:$Y$69,W$60,$C$77:$D90)</f>
        <v>0</v>
      </c>
      <c r="X90" s="53">
        <f>DSUM($B$60:$Y$69,X$60,$C$77:$D90)</f>
        <v>0</v>
      </c>
      <c r="Y90" s="53">
        <f>DSUM($B$60:$Y$69,Y$60,$C$77:$D90)</f>
        <v>0</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9" t="s">
        <v>108</v>
      </c>
      <c r="C91" s="56" t="s">
        <v>109</v>
      </c>
      <c r="D91" s="56" t="s">
        <v>110</v>
      </c>
      <c r="E91" s="53">
        <f>DSUM($B$60:$Y$69,E$60,$C$77:$D91)</f>
        <v>0</v>
      </c>
      <c r="F91" s="53">
        <f>DSUM($B$60:$Y$69,F$60,$C$77:$D91)</f>
        <v>0</v>
      </c>
      <c r="G91" s="53">
        <f>DSUM($B$60:$Y$69,G$60,$C$77:$D91)</f>
        <v>0</v>
      </c>
      <c r="H91" s="53">
        <f>DSUM($B$60:$Y$69,H$60,$C$77:$D91)</f>
        <v>0</v>
      </c>
      <c r="I91" s="53">
        <f>DSUM($B$60:$Y$69,I$60,$C$77:$D91)</f>
        <v>0</v>
      </c>
      <c r="J91" s="53">
        <f>DSUM($B$60:$Y$69,J$60,$C$77:$D91)</f>
        <v>0</v>
      </c>
      <c r="K91" s="53">
        <f>DSUM($B$60:$Y$69,K$60,$C$77:$D91)</f>
        <v>0</v>
      </c>
      <c r="L91" s="53">
        <f>DSUM($B$60:$Y$69,L$60,$C$77:$D91)</f>
        <v>0</v>
      </c>
      <c r="M91" s="53">
        <f>DSUM($B$60:$Y$69,M$60,$C$77:$D91)</f>
        <v>0</v>
      </c>
      <c r="N91" s="53">
        <f>DSUM($B$60:$Y$69,N$60,$C$77:$D91)</f>
        <v>0</v>
      </c>
      <c r="O91" s="53">
        <f>DSUM($B$60:$Y$69,O$60,$C$77:$D91)</f>
        <v>0</v>
      </c>
      <c r="P91" s="53">
        <f>DSUM($B$60:$Y$69,P$60,$C$77:$D91)</f>
        <v>0</v>
      </c>
      <c r="Q91" s="53">
        <f>DSUM($B$60:$Y$69,Q$60,$C$77:$D91)</f>
        <v>0</v>
      </c>
      <c r="R91" s="53">
        <f>DSUM($B$60:$Y$69,R$60,$C$77:$D91)</f>
        <v>0</v>
      </c>
      <c r="S91" s="53">
        <f>DSUM($B$60:$Y$69,S$60,$C$77:$D91)</f>
        <v>0</v>
      </c>
      <c r="T91" s="53">
        <f>DSUM($B$60:$Y$69,T$60,$C$77:$D91)</f>
        <v>0</v>
      </c>
      <c r="U91" s="53">
        <f>DSUM($B$60:$Y$69,U$60,$C$77:$D91)</f>
        <v>0</v>
      </c>
      <c r="V91" s="53">
        <f>DSUM($B$60:$Y$69,V$60,$C$77:$D91)</f>
        <v>0</v>
      </c>
      <c r="W91" s="53">
        <f>DSUM($B$60:$Y$69,W$60,$C$77:$D91)</f>
        <v>0</v>
      </c>
      <c r="X91" s="53">
        <f>DSUM($B$60:$Y$69,X$60,$C$77:$D91)</f>
        <v>0</v>
      </c>
      <c r="Y91" s="53">
        <f>DSUM($B$60:$Y$69,Y$60,$C$77:$D91)</f>
        <v>0</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9" t="s">
        <v>111</v>
      </c>
      <c r="C92" s="56" t="s">
        <v>112</v>
      </c>
      <c r="D92" s="56" t="s">
        <v>113</v>
      </c>
      <c r="E92" s="53">
        <f>DSUM($B$60:$Y$69,E$60,$C$77:$D92)</f>
        <v>0</v>
      </c>
      <c r="F92" s="53">
        <f>DSUM($B$60:$Y$69,F$60,$C$77:$D92)</f>
        <v>0</v>
      </c>
      <c r="G92" s="53">
        <f>DSUM($B$60:$Y$69,G$60,$C$77:$D92)</f>
        <v>0</v>
      </c>
      <c r="H92" s="53">
        <f>DSUM($B$60:$Y$69,H$60,$C$77:$D92)</f>
        <v>0</v>
      </c>
      <c r="I92" s="53">
        <f>DSUM($B$60:$Y$69,I$60,$C$77:$D92)</f>
        <v>0</v>
      </c>
      <c r="J92" s="53">
        <f>DSUM($B$60:$Y$69,J$60,$C$77:$D92)</f>
        <v>0</v>
      </c>
      <c r="K92" s="53">
        <f>DSUM($B$60:$Y$69,K$60,$C$77:$D92)</f>
        <v>0</v>
      </c>
      <c r="L92" s="53">
        <f>DSUM($B$60:$Y$69,L$60,$C$77:$D92)</f>
        <v>0</v>
      </c>
      <c r="M92" s="53">
        <f>DSUM($B$60:$Y$69,M$60,$C$77:$D92)</f>
        <v>0</v>
      </c>
      <c r="N92" s="53">
        <f>DSUM($B$60:$Y$69,N$60,$C$77:$D92)</f>
        <v>0</v>
      </c>
      <c r="O92" s="53">
        <f>DSUM($B$60:$Y$69,O$60,$C$77:$D92)</f>
        <v>0</v>
      </c>
      <c r="P92" s="53">
        <f>DSUM($B$60:$Y$69,P$60,$C$77:$D92)</f>
        <v>0</v>
      </c>
      <c r="Q92" s="53">
        <f>DSUM($B$60:$Y$69,Q$60,$C$77:$D92)</f>
        <v>0</v>
      </c>
      <c r="R92" s="53">
        <f>DSUM($B$60:$Y$69,R$60,$C$77:$D92)</f>
        <v>0</v>
      </c>
      <c r="S92" s="53">
        <f>DSUM($B$60:$Y$69,S$60,$C$77:$D92)</f>
        <v>0</v>
      </c>
      <c r="T92" s="53">
        <f>DSUM($B$60:$Y$69,T$60,$C$77:$D92)</f>
        <v>0</v>
      </c>
      <c r="U92" s="53">
        <f>DSUM($B$60:$Y$69,U$60,$C$77:$D92)</f>
        <v>0</v>
      </c>
      <c r="V92" s="53">
        <f>DSUM($B$60:$Y$69,V$60,$C$77:$D92)</f>
        <v>0</v>
      </c>
      <c r="W92" s="53">
        <f>DSUM($B$60:$Y$69,W$60,$C$77:$D92)</f>
        <v>0</v>
      </c>
      <c r="X92" s="53">
        <f>DSUM($B$60:$Y$69,X$60,$C$77:$D92)</f>
        <v>0</v>
      </c>
      <c r="Y92" s="53">
        <f>DSUM($B$60:$Y$69,Y$60,$C$77:$D92)</f>
        <v>0</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9" t="s">
        <v>114</v>
      </c>
      <c r="C93" s="56" t="s">
        <v>115</v>
      </c>
      <c r="D93" s="56" t="s">
        <v>116</v>
      </c>
      <c r="E93" s="53">
        <f>DSUM($B$60:$Y$69,E$60,$C$77:$D93)</f>
        <v>0</v>
      </c>
      <c r="F93" s="53">
        <f>DSUM($B$60:$Y$69,F$60,$C$77:$D93)</f>
        <v>0</v>
      </c>
      <c r="G93" s="53">
        <f>DSUM($B$60:$Y$69,G$60,$C$77:$D93)</f>
        <v>0</v>
      </c>
      <c r="H93" s="53">
        <f>DSUM($B$60:$Y$69,H$60,$C$77:$D93)</f>
        <v>0</v>
      </c>
      <c r="I93" s="53">
        <f>DSUM($B$60:$Y$69,I$60,$C$77:$D93)</f>
        <v>0</v>
      </c>
      <c r="J93" s="53">
        <f>DSUM($B$60:$Y$69,J$60,$C$77:$D93)</f>
        <v>0</v>
      </c>
      <c r="K93" s="53">
        <f>DSUM($B$60:$Y$69,K$60,$C$77:$D93)</f>
        <v>0</v>
      </c>
      <c r="L93" s="53">
        <f>DSUM($B$60:$Y$69,L$60,$C$77:$D93)</f>
        <v>0</v>
      </c>
      <c r="M93" s="53">
        <f>DSUM($B$60:$Y$69,M$60,$C$77:$D93)</f>
        <v>0</v>
      </c>
      <c r="N93" s="53">
        <f>DSUM($B$60:$Y$69,N$60,$C$77:$D93)</f>
        <v>0</v>
      </c>
      <c r="O93" s="53">
        <f>DSUM($B$60:$Y$69,O$60,$C$77:$D93)</f>
        <v>0</v>
      </c>
      <c r="P93" s="53">
        <f>DSUM($B$60:$Y$69,P$60,$C$77:$D93)</f>
        <v>0</v>
      </c>
      <c r="Q93" s="53">
        <f>DSUM($B$60:$Y$69,Q$60,$C$77:$D93)</f>
        <v>0</v>
      </c>
      <c r="R93" s="53">
        <f>DSUM($B$60:$Y$69,R$60,$C$77:$D93)</f>
        <v>0</v>
      </c>
      <c r="S93" s="53">
        <f>DSUM($B$60:$Y$69,S$60,$C$77:$D93)</f>
        <v>0</v>
      </c>
      <c r="T93" s="53">
        <f>DSUM($B$60:$Y$69,T$60,$C$77:$D93)</f>
        <v>0</v>
      </c>
      <c r="U93" s="53">
        <f>DSUM($B$60:$Y$69,U$60,$C$77:$D93)</f>
        <v>0</v>
      </c>
      <c r="V93" s="53">
        <f>DSUM($B$60:$Y$69,V$60,$C$77:$D93)</f>
        <v>0</v>
      </c>
      <c r="W93" s="53">
        <f>DSUM($B$60:$Y$69,W$60,$C$77:$D93)</f>
        <v>0</v>
      </c>
      <c r="X93" s="53">
        <f>DSUM($B$60:$Y$69,X$60,$C$77:$D93)</f>
        <v>0</v>
      </c>
      <c r="Y93" s="53">
        <f>DSUM($B$60:$Y$69,Y$60,$C$77:$D93)</f>
        <v>0</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9" t="s">
        <v>117</v>
      </c>
      <c r="C94" s="56" t="s">
        <v>118</v>
      </c>
      <c r="D94" s="56" t="s">
        <v>119</v>
      </c>
      <c r="E94" s="53">
        <f>DSUM($B$60:$Y$69,E$60,$C$77:$D94)</f>
        <v>0</v>
      </c>
      <c r="F94" s="53">
        <f>DSUM($B$60:$Y$69,F$60,$C$77:$D94)</f>
        <v>0</v>
      </c>
      <c r="G94" s="53">
        <f>DSUM($B$60:$Y$69,G$60,$C$77:$D94)</f>
        <v>0</v>
      </c>
      <c r="H94" s="53">
        <f>DSUM($B$60:$Y$69,H$60,$C$77:$D94)</f>
        <v>0</v>
      </c>
      <c r="I94" s="53">
        <f>DSUM($B$60:$Y$69,I$60,$C$77:$D94)</f>
        <v>0</v>
      </c>
      <c r="J94" s="53">
        <f>DSUM($B$60:$Y$69,J$60,$C$77:$D94)</f>
        <v>0</v>
      </c>
      <c r="K94" s="53">
        <f>DSUM($B$60:$Y$69,K$60,$C$77:$D94)</f>
        <v>0</v>
      </c>
      <c r="L94" s="53">
        <f>DSUM($B$60:$Y$69,L$60,$C$77:$D94)</f>
        <v>0</v>
      </c>
      <c r="M94" s="53">
        <f>DSUM($B$60:$Y$69,M$60,$C$77:$D94)</f>
        <v>0</v>
      </c>
      <c r="N94" s="53">
        <f>DSUM($B$60:$Y$69,N$60,$C$77:$D94)</f>
        <v>0</v>
      </c>
      <c r="O94" s="53">
        <f>DSUM($B$60:$Y$69,O$60,$C$77:$D94)</f>
        <v>0</v>
      </c>
      <c r="P94" s="53">
        <f>DSUM($B$60:$Y$69,P$60,$C$77:$D94)</f>
        <v>0</v>
      </c>
      <c r="Q94" s="53">
        <f>DSUM($B$60:$Y$69,Q$60,$C$77:$D94)</f>
        <v>0</v>
      </c>
      <c r="R94" s="53">
        <f>DSUM($B$60:$Y$69,R$60,$C$77:$D94)</f>
        <v>0</v>
      </c>
      <c r="S94" s="53">
        <f>DSUM($B$60:$Y$69,S$60,$C$77:$D94)</f>
        <v>0</v>
      </c>
      <c r="T94" s="53">
        <f>DSUM($B$60:$Y$69,T$60,$C$77:$D94)</f>
        <v>0</v>
      </c>
      <c r="U94" s="53">
        <f>DSUM($B$60:$Y$69,U$60,$C$77:$D94)</f>
        <v>0</v>
      </c>
      <c r="V94" s="53">
        <f>DSUM($B$60:$Y$69,V$60,$C$77:$D94)</f>
        <v>0</v>
      </c>
      <c r="W94" s="53">
        <f>DSUM($B$60:$Y$69,W$60,$C$77:$D94)</f>
        <v>0</v>
      </c>
      <c r="X94" s="53">
        <f>DSUM($B$60:$Y$69,X$60,$C$77:$D94)</f>
        <v>0</v>
      </c>
      <c r="Y94" s="53">
        <f>DSUM($B$60:$Y$69,Y$60,$C$77:$D94)</f>
        <v>0</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9" t="s">
        <v>120</v>
      </c>
      <c r="C95" s="56" t="s">
        <v>121</v>
      </c>
      <c r="D95" s="56" t="s">
        <v>122</v>
      </c>
      <c r="E95" s="53">
        <f>DSUM($B$60:$Y$69,E$60,$C$77:$D95)</f>
        <v>0</v>
      </c>
      <c r="F95" s="53">
        <f>DSUM($B$60:$Y$69,F$60,$C$77:$D95)</f>
        <v>0</v>
      </c>
      <c r="G95" s="53">
        <f>DSUM($B$60:$Y$69,G$60,$C$77:$D95)</f>
        <v>0</v>
      </c>
      <c r="H95" s="53">
        <f>DSUM($B$60:$Y$69,H$60,$C$77:$D95)</f>
        <v>0</v>
      </c>
      <c r="I95" s="53">
        <f>DSUM($B$60:$Y$69,I$60,$C$77:$D95)</f>
        <v>0</v>
      </c>
      <c r="J95" s="53">
        <f>DSUM($B$60:$Y$69,J$60,$C$77:$D95)</f>
        <v>0</v>
      </c>
      <c r="K95" s="53">
        <f>DSUM($B$60:$Y$69,K$60,$C$77:$D95)</f>
        <v>0</v>
      </c>
      <c r="L95" s="53">
        <f>DSUM($B$60:$Y$69,L$60,$C$77:$D95)</f>
        <v>0</v>
      </c>
      <c r="M95" s="53">
        <f>DSUM($B$60:$Y$69,M$60,$C$77:$D95)</f>
        <v>0</v>
      </c>
      <c r="N95" s="53">
        <f>DSUM($B$60:$Y$69,N$60,$C$77:$D95)</f>
        <v>0</v>
      </c>
      <c r="O95" s="53">
        <f>DSUM($B$60:$Y$69,O$60,$C$77:$D95)</f>
        <v>0</v>
      </c>
      <c r="P95" s="53">
        <f>DSUM($B$60:$Y$69,P$60,$C$77:$D95)</f>
        <v>0</v>
      </c>
      <c r="Q95" s="53">
        <f>DSUM($B$60:$Y$69,Q$60,$C$77:$D95)</f>
        <v>0</v>
      </c>
      <c r="R95" s="53">
        <f>DSUM($B$60:$Y$69,R$60,$C$77:$D95)</f>
        <v>0</v>
      </c>
      <c r="S95" s="53">
        <f>DSUM($B$60:$Y$69,S$60,$C$77:$D95)</f>
        <v>0</v>
      </c>
      <c r="T95" s="53">
        <f>DSUM($B$60:$Y$69,T$60,$C$77:$D95)</f>
        <v>0</v>
      </c>
      <c r="U95" s="53">
        <f>DSUM($B$60:$Y$69,U$60,$C$77:$D95)</f>
        <v>0</v>
      </c>
      <c r="V95" s="53">
        <f>DSUM($B$60:$Y$69,V$60,$C$77:$D95)</f>
        <v>0</v>
      </c>
      <c r="W95" s="53">
        <f>DSUM($B$60:$Y$69,W$60,$C$77:$D95)</f>
        <v>0</v>
      </c>
      <c r="X95" s="53">
        <f>DSUM($B$60:$Y$69,X$60,$C$77:$D95)</f>
        <v>0</v>
      </c>
      <c r="Y95" s="53">
        <f>DSUM($B$60:$Y$69,Y$60,$C$77:$D95)</f>
        <v>0</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9" t="s">
        <v>123</v>
      </c>
      <c r="C96" s="56" t="s">
        <v>124</v>
      </c>
      <c r="D96" s="56" t="s">
        <v>125</v>
      </c>
      <c r="E96" s="53">
        <f>DSUM($B$60:$Y$69,E$60,$C$77:$D96)</f>
        <v>0</v>
      </c>
      <c r="F96" s="53">
        <f>DSUM($B$60:$Y$69,F$60,$C$77:$D96)</f>
        <v>0</v>
      </c>
      <c r="G96" s="53">
        <f>DSUM($B$60:$Y$69,G$60,$C$77:$D96)</f>
        <v>0</v>
      </c>
      <c r="H96" s="53">
        <f>DSUM($B$60:$Y$69,H$60,$C$77:$D96)</f>
        <v>0</v>
      </c>
      <c r="I96" s="53">
        <f>DSUM($B$60:$Y$69,I$60,$C$77:$D96)</f>
        <v>0</v>
      </c>
      <c r="J96" s="53">
        <f>DSUM($B$60:$Y$69,J$60,$C$77:$D96)</f>
        <v>0</v>
      </c>
      <c r="K96" s="53">
        <f>DSUM($B$60:$Y$69,K$60,$C$77:$D96)</f>
        <v>0</v>
      </c>
      <c r="L96" s="53">
        <f>DSUM($B$60:$Y$69,L$60,$C$77:$D96)</f>
        <v>0</v>
      </c>
      <c r="M96" s="53">
        <f>DSUM($B$60:$Y$69,M$60,$C$77:$D96)</f>
        <v>0</v>
      </c>
      <c r="N96" s="53">
        <f>DSUM($B$60:$Y$69,N$60,$C$77:$D96)</f>
        <v>0</v>
      </c>
      <c r="O96" s="53">
        <f>DSUM($B$60:$Y$69,O$60,$C$77:$D96)</f>
        <v>0</v>
      </c>
      <c r="P96" s="53">
        <f>DSUM($B$60:$Y$69,P$60,$C$77:$D96)</f>
        <v>0</v>
      </c>
      <c r="Q96" s="53">
        <f>DSUM($B$60:$Y$69,Q$60,$C$77:$D96)</f>
        <v>0</v>
      </c>
      <c r="R96" s="53">
        <f>DSUM($B$60:$Y$69,R$60,$C$77:$D96)</f>
        <v>0</v>
      </c>
      <c r="S96" s="53">
        <f>DSUM($B$60:$Y$69,S$60,$C$77:$D96)</f>
        <v>0</v>
      </c>
      <c r="T96" s="53">
        <f>DSUM($B$60:$Y$69,T$60,$C$77:$D96)</f>
        <v>0</v>
      </c>
      <c r="U96" s="53">
        <f>DSUM($B$60:$Y$69,U$60,$C$77:$D96)</f>
        <v>0</v>
      </c>
      <c r="V96" s="53">
        <f>DSUM($B$60:$Y$69,V$60,$C$77:$D96)</f>
        <v>0</v>
      </c>
      <c r="W96" s="53">
        <f>DSUM($B$60:$Y$69,W$60,$C$77:$D96)</f>
        <v>0</v>
      </c>
      <c r="X96" s="53">
        <f>DSUM($B$60:$Y$69,X$60,$C$77:$D96)</f>
        <v>0</v>
      </c>
      <c r="Y96" s="53">
        <f>DSUM($B$60:$Y$69,Y$60,$C$77:$D96)</f>
        <v>0</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B97" s="9" t="s">
        <v>126</v>
      </c>
      <c r="C97" s="56" t="s">
        <v>127</v>
      </c>
      <c r="D97" s="56" t="s">
        <v>128</v>
      </c>
      <c r="E97" s="53">
        <f>DSUM($B$60:$Y$69,E$60,$C$77:$D97)</f>
        <v>0</v>
      </c>
      <c r="F97" s="53">
        <f>DSUM($B$60:$Y$69,F$60,$C$77:$D97)</f>
        <v>0</v>
      </c>
      <c r="G97" s="53">
        <f>DSUM($B$60:$Y$69,G$60,$C$77:$D97)</f>
        <v>0</v>
      </c>
      <c r="H97" s="53">
        <f>DSUM($B$60:$Y$69,H$60,$C$77:$D97)</f>
        <v>0</v>
      </c>
      <c r="I97" s="53">
        <f>DSUM($B$60:$Y$69,I$60,$C$77:$D97)</f>
        <v>0</v>
      </c>
      <c r="J97" s="53">
        <f>DSUM($B$60:$Y$69,J$60,$C$77:$D97)</f>
        <v>0</v>
      </c>
      <c r="K97" s="53">
        <f>DSUM($B$60:$Y$69,K$60,$C$77:$D97)</f>
        <v>0</v>
      </c>
      <c r="L97" s="53">
        <f>DSUM($B$60:$Y$69,L$60,$C$77:$D97)</f>
        <v>0</v>
      </c>
      <c r="M97" s="53">
        <f>DSUM($B$60:$Y$69,M$60,$C$77:$D97)</f>
        <v>0</v>
      </c>
      <c r="N97" s="53">
        <f>DSUM($B$60:$Y$69,N$60,$C$77:$D97)</f>
        <v>0</v>
      </c>
      <c r="O97" s="53">
        <f>DSUM($B$60:$Y$69,O$60,$C$77:$D97)</f>
        <v>0</v>
      </c>
      <c r="P97" s="53">
        <f>DSUM($B$60:$Y$69,P$60,$C$77:$D97)</f>
        <v>0</v>
      </c>
      <c r="Q97" s="53">
        <f>DSUM($B$60:$Y$69,Q$60,$C$77:$D97)</f>
        <v>0</v>
      </c>
      <c r="R97" s="53">
        <f>DSUM($B$60:$Y$69,R$60,$C$77:$D97)</f>
        <v>0</v>
      </c>
      <c r="S97" s="53">
        <f>DSUM($B$60:$Y$69,S$60,$C$77:$D97)</f>
        <v>0</v>
      </c>
      <c r="T97" s="53">
        <f>DSUM($B$60:$Y$69,T$60,$C$77:$D97)</f>
        <v>0</v>
      </c>
      <c r="U97" s="53">
        <f>DSUM($B$60:$Y$69,U$60,$C$77:$D97)</f>
        <v>0</v>
      </c>
      <c r="V97" s="53">
        <f>DSUM($B$60:$Y$69,V$60,$C$77:$D97)</f>
        <v>0</v>
      </c>
      <c r="W97" s="53">
        <f>DSUM($B$60:$Y$69,W$60,$C$77:$D97)</f>
        <v>0</v>
      </c>
      <c r="X97" s="53">
        <f>DSUM($B$60:$Y$69,X$60,$C$77:$D97)</f>
        <v>0</v>
      </c>
      <c r="Y97" s="53">
        <f>DSUM($B$60:$Y$69,Y$60,$C$77:$D97)</f>
        <v>0</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B98" s="9" t="s">
        <v>129</v>
      </c>
      <c r="C98" s="56" t="s">
        <v>130</v>
      </c>
      <c r="D98" s="56" t="s">
        <v>131</v>
      </c>
      <c r="E98" s="53">
        <f>DSUM($B$60:$Y$69,E$60,$C$77:$D98)</f>
        <v>0</v>
      </c>
      <c r="F98" s="53">
        <f>DSUM($B$60:$Y$69,F$60,$C$77:$D98)</f>
        <v>0</v>
      </c>
      <c r="G98" s="53">
        <f>DSUM($B$60:$Y$69,G$60,$C$77:$D98)</f>
        <v>0</v>
      </c>
      <c r="H98" s="53">
        <f>DSUM($B$60:$Y$69,H$60,$C$77:$D98)</f>
        <v>0</v>
      </c>
      <c r="I98" s="53">
        <f>DSUM($B$60:$Y$69,I$60,$C$77:$D98)</f>
        <v>0</v>
      </c>
      <c r="J98" s="53">
        <f>DSUM($B$60:$Y$69,J$60,$C$77:$D98)</f>
        <v>0</v>
      </c>
      <c r="K98" s="53">
        <f>DSUM($B$60:$Y$69,K$60,$C$77:$D98)</f>
        <v>0</v>
      </c>
      <c r="L98" s="53">
        <f>DSUM($B$60:$Y$69,L$60,$C$77:$D98)</f>
        <v>0</v>
      </c>
      <c r="M98" s="53">
        <f>DSUM($B$60:$Y$69,M$60,$C$77:$D98)</f>
        <v>0</v>
      </c>
      <c r="N98" s="53">
        <f>DSUM($B$60:$Y$69,N$60,$C$77:$D98)</f>
        <v>0</v>
      </c>
      <c r="O98" s="53">
        <f>DSUM($B$60:$Y$69,O$60,$C$77:$D98)</f>
        <v>0</v>
      </c>
      <c r="P98" s="53">
        <f>DSUM($B$60:$Y$69,P$60,$C$77:$D98)</f>
        <v>0</v>
      </c>
      <c r="Q98" s="53">
        <f>DSUM($B$60:$Y$69,Q$60,$C$77:$D98)</f>
        <v>0</v>
      </c>
      <c r="R98" s="53">
        <f>DSUM($B$60:$Y$69,R$60,$C$77:$D98)</f>
        <v>0</v>
      </c>
      <c r="S98" s="53">
        <f>DSUM($B$60:$Y$69,S$60,$C$77:$D98)</f>
        <v>0</v>
      </c>
      <c r="T98" s="53">
        <f>DSUM($B$60:$Y$69,T$60,$C$77:$D98)</f>
        <v>0</v>
      </c>
      <c r="U98" s="53">
        <f>DSUM($B$60:$Y$69,U$60,$C$77:$D98)</f>
        <v>0</v>
      </c>
      <c r="V98" s="53">
        <f>DSUM($B$60:$Y$69,V$60,$C$77:$D98)</f>
        <v>0</v>
      </c>
      <c r="W98" s="53">
        <f>DSUM($B$60:$Y$69,W$60,$C$77:$D98)</f>
        <v>0</v>
      </c>
      <c r="X98" s="53">
        <f>DSUM($B$60:$Y$69,X$60,$C$77:$D98)</f>
        <v>0</v>
      </c>
      <c r="Y98" s="53">
        <f>DSUM($B$60:$Y$69,Y$60,$C$77:$D98)</f>
        <v>0</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c r="B99" s="9" t="s">
        <v>183</v>
      </c>
      <c r="C99" s="56" t="s">
        <v>132</v>
      </c>
      <c r="D99" s="56" t="s">
        <v>184</v>
      </c>
      <c r="E99" s="53">
        <f>DSUM($B$60:$Y$69,E$60,$C$77:$D99)</f>
        <v>0</v>
      </c>
      <c r="F99" s="53">
        <f>DSUM($B$60:$Y$69,F$60,$C$77:$D99)</f>
        <v>0</v>
      </c>
      <c r="G99" s="53">
        <f>DSUM($B$60:$Y$69,G$60,$C$77:$D99)</f>
        <v>0</v>
      </c>
      <c r="H99" s="53">
        <f>DSUM($B$60:$Y$69,H$60,$C$77:$D99)</f>
        <v>0</v>
      </c>
      <c r="I99" s="53">
        <f>DSUM($B$60:$Y$69,I$60,$C$77:$D99)</f>
        <v>0</v>
      </c>
      <c r="J99" s="53">
        <f>DSUM($B$60:$Y$69,J$60,$C$77:$D99)</f>
        <v>0</v>
      </c>
      <c r="K99" s="53">
        <f>DSUM($B$60:$Y$69,K$60,$C$77:$D99)</f>
        <v>0</v>
      </c>
      <c r="L99" s="53">
        <f>DSUM($B$60:$Y$69,L$60,$C$77:$D99)</f>
        <v>0</v>
      </c>
      <c r="M99" s="53">
        <f>DSUM($B$60:$Y$69,M$60,$C$77:$D99)</f>
        <v>0</v>
      </c>
      <c r="N99" s="53">
        <f>DSUM($B$60:$Y$69,N$60,$C$77:$D99)</f>
        <v>0</v>
      </c>
      <c r="O99" s="53">
        <f>DSUM($B$60:$Y$69,O$60,$C$77:$D99)</f>
        <v>0</v>
      </c>
      <c r="P99" s="53">
        <f>DSUM($B$60:$Y$69,P$60,$C$77:$D99)</f>
        <v>0</v>
      </c>
      <c r="Q99" s="53">
        <f>DSUM($B$60:$Y$69,Q$60,$C$77:$D99)</f>
        <v>0</v>
      </c>
      <c r="R99" s="53">
        <f>DSUM($B$60:$Y$69,R$60,$C$77:$D99)</f>
        <v>0</v>
      </c>
      <c r="S99" s="53">
        <f>DSUM($B$60:$Y$69,S$60,$C$77:$D99)</f>
        <v>0</v>
      </c>
      <c r="T99" s="53">
        <f>DSUM($B$60:$Y$69,T$60,$C$77:$D99)</f>
        <v>0</v>
      </c>
      <c r="U99" s="53">
        <f>DSUM($B$60:$Y$69,U$60,$C$77:$D99)</f>
        <v>0</v>
      </c>
      <c r="V99" s="53">
        <f>DSUM($B$60:$Y$69,V$60,$C$77:$D99)</f>
        <v>0</v>
      </c>
      <c r="W99" s="53">
        <f>DSUM($B$60:$Y$69,W$60,$C$77:$D99)</f>
        <v>0</v>
      </c>
      <c r="X99" s="53">
        <f>DSUM($B$60:$Y$69,X$60,$C$77:$D99)</f>
        <v>0</v>
      </c>
      <c r="Y99" s="53">
        <f>DSUM($B$60:$Y$69,Y$60,$C$77:$D99)</f>
        <v>0</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c r="B100" s="9" t="s">
        <v>185</v>
      </c>
      <c r="C100" s="56" t="s">
        <v>186</v>
      </c>
      <c r="D100" s="56" t="s">
        <v>187</v>
      </c>
      <c r="E100" s="53">
        <f>DSUM($B$60:$Y$69,E$60,$C$77:$D100)</f>
        <v>0</v>
      </c>
      <c r="F100" s="53">
        <f>DSUM($B$60:$Y$69,F$60,$C$77:$D100)</f>
        <v>0</v>
      </c>
      <c r="G100" s="53">
        <f>DSUM($B$60:$Y$69,G$60,$C$77:$D100)</f>
        <v>0</v>
      </c>
      <c r="H100" s="53">
        <f>DSUM($B$60:$Y$69,H$60,$C$77:$D100)</f>
        <v>0</v>
      </c>
      <c r="I100" s="53">
        <f>DSUM($B$60:$Y$69,I$60,$C$77:$D100)</f>
        <v>0</v>
      </c>
      <c r="J100" s="53">
        <f>DSUM($B$60:$Y$69,J$60,$C$77:$D100)</f>
        <v>0</v>
      </c>
      <c r="K100" s="53">
        <f>DSUM($B$60:$Y$69,K$60,$C$77:$D100)</f>
        <v>0</v>
      </c>
      <c r="L100" s="53">
        <f>DSUM($B$60:$Y$69,L$60,$C$77:$D100)</f>
        <v>0</v>
      </c>
      <c r="M100" s="53">
        <f>DSUM($B$60:$Y$69,M$60,$C$77:$D100)</f>
        <v>0</v>
      </c>
      <c r="N100" s="53">
        <f>DSUM($B$60:$Y$69,N$60,$C$77:$D100)</f>
        <v>0</v>
      </c>
      <c r="O100" s="53">
        <f>DSUM($B$60:$Y$69,O$60,$C$77:$D100)</f>
        <v>0</v>
      </c>
      <c r="P100" s="53">
        <f>DSUM($B$60:$Y$69,P$60,$C$77:$D100)</f>
        <v>0</v>
      </c>
      <c r="Q100" s="53">
        <f>DSUM($B$60:$Y$69,Q$60,$C$77:$D100)</f>
        <v>0</v>
      </c>
      <c r="R100" s="53">
        <f>DSUM($B$60:$Y$69,R$60,$C$77:$D100)</f>
        <v>0</v>
      </c>
      <c r="S100" s="53">
        <f>DSUM($B$60:$Y$69,S$60,$C$77:$D100)</f>
        <v>0</v>
      </c>
      <c r="T100" s="53">
        <f>DSUM($B$60:$Y$69,T$60,$C$77:$D100)</f>
        <v>0</v>
      </c>
      <c r="U100" s="53">
        <f>DSUM($B$60:$Y$69,U$60,$C$77:$D100)</f>
        <v>0</v>
      </c>
      <c r="V100" s="53">
        <f>DSUM($B$60:$Y$69,V$60,$C$77:$D100)</f>
        <v>0</v>
      </c>
      <c r="W100" s="53">
        <f>DSUM($B$60:$Y$69,W$60,$C$77:$D100)</f>
        <v>0</v>
      </c>
      <c r="X100" s="53">
        <f>DSUM($B$60:$Y$69,X$60,$C$77:$D100)</f>
        <v>0</v>
      </c>
      <c r="Y100" s="53">
        <f>DSUM($B$60:$Y$69,Y$60,$C$77:$D100)</f>
        <v>0</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c r="B101" s="9" t="s">
        <v>188</v>
      </c>
      <c r="C101" s="56" t="s">
        <v>189</v>
      </c>
      <c r="D101" s="56" t="s">
        <v>190</v>
      </c>
      <c r="E101" s="53">
        <f>DSUM($B$60:$Y$69,E$60,$C$77:$D101)</f>
        <v>0</v>
      </c>
      <c r="F101" s="53">
        <f>DSUM($B$60:$Y$69,F$60,$C$77:$D101)</f>
        <v>0</v>
      </c>
      <c r="G101" s="53">
        <f>DSUM($B$60:$Y$69,G$60,$C$77:$D101)</f>
        <v>0</v>
      </c>
      <c r="H101" s="53">
        <f>DSUM($B$60:$Y$69,H$60,$C$77:$D101)</f>
        <v>0</v>
      </c>
      <c r="I101" s="53">
        <f>DSUM($B$60:$Y$69,I$60,$C$77:$D101)</f>
        <v>0</v>
      </c>
      <c r="J101" s="53">
        <f>DSUM($B$60:$Y$69,J$60,$C$77:$D101)</f>
        <v>0</v>
      </c>
      <c r="K101" s="53">
        <f>DSUM($B$60:$Y$69,K$60,$C$77:$D101)</f>
        <v>0</v>
      </c>
      <c r="L101" s="53">
        <f>DSUM($B$60:$Y$69,L$60,$C$77:$D101)</f>
        <v>0</v>
      </c>
      <c r="M101" s="53">
        <f>DSUM($B$60:$Y$69,M$60,$C$77:$D101)</f>
        <v>0</v>
      </c>
      <c r="N101" s="53">
        <f>DSUM($B$60:$Y$69,N$60,$C$77:$D101)</f>
        <v>0</v>
      </c>
      <c r="O101" s="53">
        <f>DSUM($B$60:$Y$69,O$60,$C$77:$D101)</f>
        <v>0</v>
      </c>
      <c r="P101" s="53">
        <f>DSUM($B$60:$Y$69,P$60,$C$77:$D101)</f>
        <v>0</v>
      </c>
      <c r="Q101" s="53">
        <f>DSUM($B$60:$Y$69,Q$60,$C$77:$D101)</f>
        <v>0</v>
      </c>
      <c r="R101" s="53">
        <f>DSUM($B$60:$Y$69,R$60,$C$77:$D101)</f>
        <v>0</v>
      </c>
      <c r="S101" s="53">
        <f>DSUM($B$60:$Y$69,S$60,$C$77:$D101)</f>
        <v>0</v>
      </c>
      <c r="T101" s="53">
        <f>DSUM($B$60:$Y$69,T$60,$C$77:$D101)</f>
        <v>0</v>
      </c>
      <c r="U101" s="53">
        <f>DSUM($B$60:$Y$69,U$60,$C$77:$D101)</f>
        <v>0</v>
      </c>
      <c r="V101" s="53">
        <f>DSUM($B$60:$Y$69,V$60,$C$77:$D101)</f>
        <v>0</v>
      </c>
      <c r="W101" s="53">
        <f>DSUM($B$60:$Y$69,W$60,$C$77:$D101)</f>
        <v>0</v>
      </c>
      <c r="X101" s="53">
        <f>DSUM($B$60:$Y$69,X$60,$C$77:$D101)</f>
        <v>0</v>
      </c>
      <c r="Y101" s="53">
        <f>DSUM($B$60:$Y$69,Y$60,$C$77:$D101)</f>
        <v>0</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9" t="s">
        <v>191</v>
      </c>
      <c r="C102" s="56" t="s">
        <v>192</v>
      </c>
      <c r="D102" s="56" t="s">
        <v>193</v>
      </c>
      <c r="E102" s="53">
        <f>DSUM($B$60:$Y$69,E$60,$C$77:$D102)</f>
        <v>0</v>
      </c>
      <c r="F102" s="53">
        <f>DSUM($B$60:$Y$69,F$60,$C$77:$D102)</f>
        <v>0</v>
      </c>
      <c r="G102" s="53">
        <f>DSUM($B$60:$Y$69,G$60,$C$77:$D102)</f>
        <v>0</v>
      </c>
      <c r="H102" s="53">
        <f>DSUM($B$60:$Y$69,H$60,$C$77:$D102)</f>
        <v>0</v>
      </c>
      <c r="I102" s="53">
        <f>DSUM($B$60:$Y$69,I$60,$C$77:$D102)</f>
        <v>0</v>
      </c>
      <c r="J102" s="53">
        <f>DSUM($B$60:$Y$69,J$60,$C$77:$D102)</f>
        <v>0</v>
      </c>
      <c r="K102" s="53">
        <f>DSUM($B$60:$Y$69,K$60,$C$77:$D102)</f>
        <v>0</v>
      </c>
      <c r="L102" s="53">
        <f>DSUM($B$60:$Y$69,L$60,$C$77:$D102)</f>
        <v>0</v>
      </c>
      <c r="M102" s="53">
        <f>DSUM($B$60:$Y$69,M$60,$C$77:$D102)</f>
        <v>0</v>
      </c>
      <c r="N102" s="53">
        <f>DSUM($B$60:$Y$69,N$60,$C$77:$D102)</f>
        <v>0</v>
      </c>
      <c r="O102" s="53">
        <f>DSUM($B$60:$Y$69,O$60,$C$77:$D102)</f>
        <v>0</v>
      </c>
      <c r="P102" s="53">
        <f>DSUM($B$60:$Y$69,P$60,$C$77:$D102)</f>
        <v>0</v>
      </c>
      <c r="Q102" s="53">
        <f>DSUM($B$60:$Y$69,Q$60,$C$77:$D102)</f>
        <v>0</v>
      </c>
      <c r="R102" s="53">
        <f>DSUM($B$60:$Y$69,R$60,$C$77:$D102)</f>
        <v>0</v>
      </c>
      <c r="S102" s="53">
        <f>DSUM($B$60:$Y$69,S$60,$C$77:$D102)</f>
        <v>0</v>
      </c>
      <c r="T102" s="53">
        <f>DSUM($B$60:$Y$69,T$60,$C$77:$D102)</f>
        <v>0</v>
      </c>
      <c r="U102" s="53">
        <f>DSUM($B$60:$Y$69,U$60,$C$77:$D102)</f>
        <v>0</v>
      </c>
      <c r="V102" s="53">
        <f>DSUM($B$60:$Y$69,V$60,$C$77:$D102)</f>
        <v>0</v>
      </c>
      <c r="W102" s="53">
        <f>DSUM($B$60:$Y$69,W$60,$C$77:$D102)</f>
        <v>0</v>
      </c>
      <c r="X102" s="53">
        <f>DSUM($B$60:$Y$69,X$60,$C$77:$D102)</f>
        <v>0</v>
      </c>
      <c r="Y102" s="53">
        <f>DSUM($B$60:$Y$69,Y$60,$C$77:$D102)</f>
        <v>0</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9" t="s">
        <v>194</v>
      </c>
      <c r="C103" s="56" t="s">
        <v>195</v>
      </c>
      <c r="D103" s="56" t="s">
        <v>196</v>
      </c>
      <c r="E103" s="53">
        <f>DSUM($B$60:$Y$69,E$60,$C$77:$D103)</f>
        <v>0</v>
      </c>
      <c r="F103" s="53">
        <f>DSUM($B$60:$Y$69,F$60,$C$77:$D103)</f>
        <v>0</v>
      </c>
      <c r="G103" s="53">
        <f>DSUM($B$60:$Y$69,G$60,$C$77:$D103)</f>
        <v>0</v>
      </c>
      <c r="H103" s="53">
        <f>DSUM($B$60:$Y$69,H$60,$C$77:$D103)</f>
        <v>0</v>
      </c>
      <c r="I103" s="53">
        <f>DSUM($B$60:$Y$69,I$60,$C$77:$D103)</f>
        <v>0</v>
      </c>
      <c r="J103" s="53">
        <f>DSUM($B$60:$Y$69,J$60,$C$77:$D103)</f>
        <v>0</v>
      </c>
      <c r="K103" s="53">
        <f>DSUM($B$60:$Y$69,K$60,$C$77:$D103)</f>
        <v>0</v>
      </c>
      <c r="L103" s="53">
        <f>DSUM($B$60:$Y$69,L$60,$C$77:$D103)</f>
        <v>0</v>
      </c>
      <c r="M103" s="53">
        <f>DSUM($B$60:$Y$69,M$60,$C$77:$D103)</f>
        <v>0</v>
      </c>
      <c r="N103" s="53">
        <f>DSUM($B$60:$Y$69,N$60,$C$77:$D103)</f>
        <v>0</v>
      </c>
      <c r="O103" s="53">
        <f>DSUM($B$60:$Y$69,O$60,$C$77:$D103)</f>
        <v>0</v>
      </c>
      <c r="P103" s="53">
        <f>DSUM($B$60:$Y$69,P$60,$C$77:$D103)</f>
        <v>0</v>
      </c>
      <c r="Q103" s="53">
        <f>DSUM($B$60:$Y$69,Q$60,$C$77:$D103)</f>
        <v>0</v>
      </c>
      <c r="R103" s="53">
        <f>DSUM($B$60:$Y$69,R$60,$C$77:$D103)</f>
        <v>0</v>
      </c>
      <c r="S103" s="53">
        <f>DSUM($B$60:$Y$69,S$60,$C$77:$D103)</f>
        <v>0</v>
      </c>
      <c r="T103" s="53">
        <f>DSUM($B$60:$Y$69,T$60,$C$77:$D103)</f>
        <v>0</v>
      </c>
      <c r="U103" s="53">
        <f>DSUM($B$60:$Y$69,U$60,$C$77:$D103)</f>
        <v>0</v>
      </c>
      <c r="V103" s="53">
        <f>DSUM($B$60:$Y$69,V$60,$C$77:$D103)</f>
        <v>0</v>
      </c>
      <c r="W103" s="53">
        <f>DSUM($B$60:$Y$69,W$60,$C$77:$D103)</f>
        <v>0</v>
      </c>
      <c r="X103" s="53">
        <f>DSUM($B$60:$Y$69,X$60,$C$77:$D103)</f>
        <v>0</v>
      </c>
      <c r="Y103" s="53">
        <f>DSUM($B$60:$Y$69,Y$60,$C$77:$D103)</f>
        <v>0</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9" t="s">
        <v>197</v>
      </c>
      <c r="C104" s="56" t="s">
        <v>198</v>
      </c>
      <c r="D104" s="56" t="s">
        <v>199</v>
      </c>
      <c r="E104" s="53">
        <f>DSUM($B$60:$Y$69,E$60,$C$77:$D104)</f>
        <v>0</v>
      </c>
      <c r="F104" s="53">
        <f>DSUM($B$60:$Y$69,F$60,$C$77:$D104)</f>
        <v>0</v>
      </c>
      <c r="G104" s="53">
        <f>DSUM($B$60:$Y$69,G$60,$C$77:$D104)</f>
        <v>0</v>
      </c>
      <c r="H104" s="53">
        <f>DSUM($B$60:$Y$69,H$60,$C$77:$D104)</f>
        <v>0</v>
      </c>
      <c r="I104" s="53">
        <f>DSUM($B$60:$Y$69,I$60,$C$77:$D104)</f>
        <v>0</v>
      </c>
      <c r="J104" s="53">
        <f>DSUM($B$60:$Y$69,J$60,$C$77:$D104)</f>
        <v>0</v>
      </c>
      <c r="K104" s="53">
        <f>DSUM($B$60:$Y$69,K$60,$C$77:$D104)</f>
        <v>0</v>
      </c>
      <c r="L104" s="53">
        <f>DSUM($B$60:$Y$69,L$60,$C$77:$D104)</f>
        <v>0</v>
      </c>
      <c r="M104" s="53">
        <f>DSUM($B$60:$Y$69,M$60,$C$77:$D104)</f>
        <v>0</v>
      </c>
      <c r="N104" s="53">
        <f>DSUM($B$60:$Y$69,N$60,$C$77:$D104)</f>
        <v>0</v>
      </c>
      <c r="O104" s="53">
        <f>DSUM($B$60:$Y$69,O$60,$C$77:$D104)</f>
        <v>0</v>
      </c>
      <c r="P104" s="53">
        <f>DSUM($B$60:$Y$69,P$60,$C$77:$D104)</f>
        <v>0</v>
      </c>
      <c r="Q104" s="53">
        <f>DSUM($B$60:$Y$69,Q$60,$C$77:$D104)</f>
        <v>0</v>
      </c>
      <c r="R104" s="53">
        <f>DSUM($B$60:$Y$69,R$60,$C$77:$D104)</f>
        <v>0</v>
      </c>
      <c r="S104" s="53">
        <f>DSUM($B$60:$Y$69,S$60,$C$77:$D104)</f>
        <v>0</v>
      </c>
      <c r="T104" s="53">
        <f>DSUM($B$60:$Y$69,T$60,$C$77:$D104)</f>
        <v>0</v>
      </c>
      <c r="U104" s="53">
        <f>DSUM($B$60:$Y$69,U$60,$C$77:$D104)</f>
        <v>0</v>
      </c>
      <c r="V104" s="53">
        <f>DSUM($B$60:$Y$69,V$60,$C$77:$D104)</f>
        <v>0</v>
      </c>
      <c r="W104" s="53">
        <f>DSUM($B$60:$Y$69,W$60,$C$77:$D104)</f>
        <v>0</v>
      </c>
      <c r="X104" s="53">
        <f>DSUM($B$60:$Y$69,X$60,$C$77:$D104)</f>
        <v>0</v>
      </c>
      <c r="Y104" s="53">
        <f>DSUM($B$60:$Y$69,Y$60,$C$77:$D104)</f>
        <v>0</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9" t="s">
        <v>200</v>
      </c>
      <c r="C105" s="56" t="s">
        <v>201</v>
      </c>
      <c r="D105" s="56" t="s">
        <v>202</v>
      </c>
      <c r="E105" s="53">
        <f>DSUM($B$60:$Y$69,E$60,$C$77:$D105)</f>
        <v>0</v>
      </c>
      <c r="F105" s="53">
        <f>DSUM($B$60:$Y$69,F$60,$C$77:$D105)</f>
        <v>0</v>
      </c>
      <c r="G105" s="53">
        <f>DSUM($B$60:$Y$69,G$60,$C$77:$D105)</f>
        <v>0</v>
      </c>
      <c r="H105" s="53">
        <f>DSUM($B$60:$Y$69,H$60,$C$77:$D105)</f>
        <v>0</v>
      </c>
      <c r="I105" s="53">
        <f>DSUM($B$60:$Y$69,I$60,$C$77:$D105)</f>
        <v>0</v>
      </c>
      <c r="J105" s="53">
        <f>DSUM($B$60:$Y$69,J$60,$C$77:$D105)</f>
        <v>0</v>
      </c>
      <c r="K105" s="53">
        <f>DSUM($B$60:$Y$69,K$60,$C$77:$D105)</f>
        <v>0</v>
      </c>
      <c r="L105" s="53">
        <f>DSUM($B$60:$Y$69,L$60,$C$77:$D105)</f>
        <v>0</v>
      </c>
      <c r="M105" s="53">
        <f>DSUM($B$60:$Y$69,M$60,$C$77:$D105)</f>
        <v>0</v>
      </c>
      <c r="N105" s="53">
        <f>DSUM($B$60:$Y$69,N$60,$C$77:$D105)</f>
        <v>0</v>
      </c>
      <c r="O105" s="53">
        <f>DSUM($B$60:$Y$69,O$60,$C$77:$D105)</f>
        <v>0</v>
      </c>
      <c r="P105" s="53">
        <f>DSUM($B$60:$Y$69,P$60,$C$77:$D105)</f>
        <v>0</v>
      </c>
      <c r="Q105" s="53">
        <f>DSUM($B$60:$Y$69,Q$60,$C$77:$D105)</f>
        <v>0</v>
      </c>
      <c r="R105" s="53">
        <f>DSUM($B$60:$Y$69,R$60,$C$77:$D105)</f>
        <v>0</v>
      </c>
      <c r="S105" s="53">
        <f>DSUM($B$60:$Y$69,S$60,$C$77:$D105)</f>
        <v>0</v>
      </c>
      <c r="T105" s="53">
        <f>DSUM($B$60:$Y$69,T$60,$C$77:$D105)</f>
        <v>0</v>
      </c>
      <c r="U105" s="53">
        <f>DSUM($B$60:$Y$69,U$60,$C$77:$D105)</f>
        <v>0</v>
      </c>
      <c r="V105" s="53">
        <f>DSUM($B$60:$Y$69,V$60,$C$77:$D105)</f>
        <v>0</v>
      </c>
      <c r="W105" s="53">
        <f>DSUM($B$60:$Y$69,W$60,$C$77:$D105)</f>
        <v>0</v>
      </c>
      <c r="X105" s="53">
        <f>DSUM($B$60:$Y$69,X$60,$C$77:$D105)</f>
        <v>0</v>
      </c>
      <c r="Y105" s="53">
        <f>DSUM($B$60:$Y$69,Y$60,$C$77:$D105)</f>
        <v>0</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B106" s="9" t="s">
        <v>203</v>
      </c>
      <c r="C106" s="56" t="s">
        <v>204</v>
      </c>
      <c r="D106" s="56" t="s">
        <v>205</v>
      </c>
      <c r="E106" s="53">
        <f>DSUM($B$60:$Y$69,E$60,$C$77:$D106)</f>
        <v>0</v>
      </c>
      <c r="F106" s="53">
        <f>DSUM($B$60:$Y$69,F$60,$C$77:$D106)</f>
        <v>0</v>
      </c>
      <c r="G106" s="53">
        <f>DSUM($B$60:$Y$69,G$60,$C$77:$D106)</f>
        <v>0</v>
      </c>
      <c r="H106" s="53">
        <f>DSUM($B$60:$Y$69,H$60,$C$77:$D106)</f>
        <v>0</v>
      </c>
      <c r="I106" s="53">
        <f>DSUM($B$60:$Y$69,I$60,$C$77:$D106)</f>
        <v>0</v>
      </c>
      <c r="J106" s="53">
        <f>DSUM($B$60:$Y$69,J$60,$C$77:$D106)</f>
        <v>0</v>
      </c>
      <c r="K106" s="53">
        <f>DSUM($B$60:$Y$69,K$60,$C$77:$D106)</f>
        <v>0</v>
      </c>
      <c r="L106" s="53">
        <f>DSUM($B$60:$Y$69,L$60,$C$77:$D106)</f>
        <v>0</v>
      </c>
      <c r="M106" s="53">
        <f>DSUM($B$60:$Y$69,M$60,$C$77:$D106)</f>
        <v>0</v>
      </c>
      <c r="N106" s="53">
        <f>DSUM($B$60:$Y$69,N$60,$C$77:$D106)</f>
        <v>0</v>
      </c>
      <c r="O106" s="53">
        <f>DSUM($B$60:$Y$69,O$60,$C$77:$D106)</f>
        <v>0</v>
      </c>
      <c r="P106" s="53">
        <f>DSUM($B$60:$Y$69,P$60,$C$77:$D106)</f>
        <v>0</v>
      </c>
      <c r="Q106" s="53">
        <f>DSUM($B$60:$Y$69,Q$60,$C$77:$D106)</f>
        <v>0</v>
      </c>
      <c r="R106" s="53">
        <f>DSUM($B$60:$Y$69,R$60,$C$77:$D106)</f>
        <v>0</v>
      </c>
      <c r="S106" s="53">
        <f>DSUM($B$60:$Y$69,S$60,$C$77:$D106)</f>
        <v>0</v>
      </c>
      <c r="T106" s="53">
        <f>DSUM($B$60:$Y$69,T$60,$C$77:$D106)</f>
        <v>0</v>
      </c>
      <c r="U106" s="53">
        <f>DSUM($B$60:$Y$69,U$60,$C$77:$D106)</f>
        <v>0</v>
      </c>
      <c r="V106" s="53">
        <f>DSUM($B$60:$Y$69,V$60,$C$77:$D106)</f>
        <v>0</v>
      </c>
      <c r="W106" s="53">
        <f>DSUM($B$60:$Y$69,W$60,$C$77:$D106)</f>
        <v>0</v>
      </c>
      <c r="X106" s="53">
        <f>DSUM($B$60:$Y$69,X$60,$C$77:$D106)</f>
        <v>0</v>
      </c>
      <c r="Y106" s="53">
        <f>DSUM($B$60:$Y$69,Y$60,$C$77:$D106)</f>
        <v>0</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B107" s="9" t="s">
        <v>206</v>
      </c>
      <c r="C107" s="56" t="s">
        <v>207</v>
      </c>
      <c r="D107" s="56" t="s">
        <v>208</v>
      </c>
      <c r="E107" s="53">
        <f>DSUM($B$60:$Y$69,E$60,$C$77:$D107)</f>
        <v>0</v>
      </c>
      <c r="F107" s="53">
        <f>DSUM($B$60:$Y$69,F$60,$C$77:$D107)</f>
        <v>0</v>
      </c>
      <c r="G107" s="53">
        <f>DSUM($B$60:$Y$69,G$60,$C$77:$D107)</f>
        <v>0</v>
      </c>
      <c r="H107" s="53">
        <f>DSUM($B$60:$Y$69,H$60,$C$77:$D107)</f>
        <v>0</v>
      </c>
      <c r="I107" s="53">
        <f>DSUM($B$60:$Y$69,I$60,$C$77:$D107)</f>
        <v>0</v>
      </c>
      <c r="J107" s="53">
        <f>DSUM($B$60:$Y$69,J$60,$C$77:$D107)</f>
        <v>0</v>
      </c>
      <c r="K107" s="53">
        <f>DSUM($B$60:$Y$69,K$60,$C$77:$D107)</f>
        <v>0</v>
      </c>
      <c r="L107" s="53">
        <f>DSUM($B$60:$Y$69,L$60,$C$77:$D107)</f>
        <v>0</v>
      </c>
      <c r="M107" s="53">
        <f>DSUM($B$60:$Y$69,M$60,$C$77:$D107)</f>
        <v>0</v>
      </c>
      <c r="N107" s="53">
        <f>DSUM($B$60:$Y$69,N$60,$C$77:$D107)</f>
        <v>0</v>
      </c>
      <c r="O107" s="53">
        <f>DSUM($B$60:$Y$69,O$60,$C$77:$D107)</f>
        <v>0</v>
      </c>
      <c r="P107" s="53">
        <f>DSUM($B$60:$Y$69,P$60,$C$77:$D107)</f>
        <v>0</v>
      </c>
      <c r="Q107" s="53">
        <f>DSUM($B$60:$Y$69,Q$60,$C$77:$D107)</f>
        <v>0</v>
      </c>
      <c r="R107" s="53">
        <f>DSUM($B$60:$Y$69,R$60,$C$77:$D107)</f>
        <v>0</v>
      </c>
      <c r="S107" s="53">
        <f>DSUM($B$60:$Y$69,S$60,$C$77:$D107)</f>
        <v>0</v>
      </c>
      <c r="T107" s="53">
        <f>DSUM($B$60:$Y$69,T$60,$C$77:$D107)</f>
        <v>0</v>
      </c>
      <c r="U107" s="53">
        <f>DSUM($B$60:$Y$69,U$60,$C$77:$D107)</f>
        <v>0</v>
      </c>
      <c r="V107" s="53">
        <f>DSUM($B$60:$Y$69,V$60,$C$77:$D107)</f>
        <v>0</v>
      </c>
      <c r="W107" s="53">
        <f>DSUM($B$60:$Y$69,W$60,$C$77:$D107)</f>
        <v>0</v>
      </c>
      <c r="X107" s="53">
        <f>DSUM($B$60:$Y$69,X$60,$C$77:$D107)</f>
        <v>0</v>
      </c>
      <c r="Y107" s="53">
        <f>DSUM($B$60:$Y$69,Y$60,$C$77:$D107)</f>
        <v>0</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c r="B108" s="9" t="s">
        <v>209</v>
      </c>
      <c r="C108" s="56" t="s">
        <v>210</v>
      </c>
      <c r="D108" s="56" t="s">
        <v>211</v>
      </c>
      <c r="E108" s="53">
        <f>DSUM($B$60:$Y$69,E$60,$C$77:$D108)</f>
        <v>0</v>
      </c>
      <c r="F108" s="53">
        <f>DSUM($B$60:$Y$69,F$60,$C$77:$D108)</f>
        <v>0</v>
      </c>
      <c r="G108" s="53">
        <f>DSUM($B$60:$Y$69,G$60,$C$77:$D108)</f>
        <v>0</v>
      </c>
      <c r="H108" s="53">
        <f>DSUM($B$60:$Y$69,H$60,$C$77:$D108)</f>
        <v>0</v>
      </c>
      <c r="I108" s="53">
        <f>DSUM($B$60:$Y$69,I$60,$C$77:$D108)</f>
        <v>0</v>
      </c>
      <c r="J108" s="53">
        <f>DSUM($B$60:$Y$69,J$60,$C$77:$D108)</f>
        <v>0</v>
      </c>
      <c r="K108" s="53">
        <f>DSUM($B$60:$Y$69,K$60,$C$77:$D108)</f>
        <v>0</v>
      </c>
      <c r="L108" s="53">
        <f>DSUM($B$60:$Y$69,L$60,$C$77:$D108)</f>
        <v>0</v>
      </c>
      <c r="M108" s="53">
        <f>DSUM($B$60:$Y$69,M$60,$C$77:$D108)</f>
        <v>0</v>
      </c>
      <c r="N108" s="53">
        <f>DSUM($B$60:$Y$69,N$60,$C$77:$D108)</f>
        <v>0</v>
      </c>
      <c r="O108" s="53">
        <f>DSUM($B$60:$Y$69,O$60,$C$77:$D108)</f>
        <v>0</v>
      </c>
      <c r="P108" s="53">
        <f>DSUM($B$60:$Y$69,P$60,$C$77:$D108)</f>
        <v>0</v>
      </c>
      <c r="Q108" s="53">
        <f>DSUM($B$60:$Y$69,Q$60,$C$77:$D108)</f>
        <v>0</v>
      </c>
      <c r="R108" s="53">
        <f>DSUM($B$60:$Y$69,R$60,$C$77:$D108)</f>
        <v>0</v>
      </c>
      <c r="S108" s="53">
        <f>DSUM($B$60:$Y$69,S$60,$C$77:$D108)</f>
        <v>0</v>
      </c>
      <c r="T108" s="53">
        <f>DSUM($B$60:$Y$69,T$60,$C$77:$D108)</f>
        <v>0</v>
      </c>
      <c r="U108" s="53">
        <f>DSUM($B$60:$Y$69,U$60,$C$77:$D108)</f>
        <v>0</v>
      </c>
      <c r="V108" s="53">
        <f>DSUM($B$60:$Y$69,V$60,$C$77:$D108)</f>
        <v>0</v>
      </c>
      <c r="W108" s="53">
        <f>DSUM($B$60:$Y$69,W$60,$C$77:$D108)</f>
        <v>0</v>
      </c>
      <c r="X108" s="53">
        <f>DSUM($B$60:$Y$69,X$60,$C$77:$D108)</f>
        <v>0</v>
      </c>
      <c r="Y108" s="53">
        <f>DSUM($B$60:$Y$69,Y$60,$C$77:$D108)</f>
        <v>0</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c r="B109" s="9" t="s">
        <v>212</v>
      </c>
      <c r="C109" s="56" t="s">
        <v>213</v>
      </c>
      <c r="D109" s="56" t="s">
        <v>133</v>
      </c>
      <c r="E109" s="53">
        <f ca="1">DSUM($B$60:$Y$69,E$60,$C$77:$D109)</f>
        <v>0.91165252934148144</v>
      </c>
      <c r="F109" s="53">
        <f ca="1">DSUM($B$60:$Y$69,F$60,$C$77:$D109)</f>
        <v>1.8002696156567146</v>
      </c>
      <c r="G109" s="53">
        <f ca="1">DSUM($B$60:$Y$69,G$60,$C$77:$D109)</f>
        <v>2.6383234729364924</v>
      </c>
      <c r="H109" s="53">
        <f ca="1">DSUM($B$60:$Y$69,H$60,$C$77:$D109)</f>
        <v>3.3998235596812272</v>
      </c>
      <c r="I109" s="53">
        <f ca="1">DSUM($B$60:$Y$69,I$60,$C$77:$D109)</f>
        <v>4.0618456323437044</v>
      </c>
      <c r="J109" s="53">
        <f ca="1">DSUM($B$60:$Y$69,J$60,$C$77:$D109)</f>
        <v>4.3502716770501362</v>
      </c>
      <c r="K109" s="53">
        <f ca="1">DSUM($B$60:$Y$69,K$60,$C$77:$D109)</f>
        <v>4.0788035316891298</v>
      </c>
      <c r="L109" s="53">
        <f ca="1">DSUM($B$60:$Y$69,L$60,$C$77:$D109)</f>
        <v>3.8217670847009089</v>
      </c>
      <c r="M109" s="53">
        <f ca="1">DSUM($B$60:$Y$69,M$60,$C$77:$D109)</f>
        <v>3.5796133285205967</v>
      </c>
      <c r="N109" s="53">
        <f ca="1">DSUM($B$60:$Y$69,N$60,$C$77:$D109)</f>
        <v>3.3527236291861557</v>
      </c>
      <c r="O109" s="53">
        <f ca="1">DSUM($B$60:$Y$69,O$60,$C$77:$D109)</f>
        <v>3.1411677407086103</v>
      </c>
      <c r="P109" s="53">
        <f ca="1">DSUM($B$60:$Y$69,P$60,$C$77:$D109)</f>
        <v>2.9445917691639072</v>
      </c>
      <c r="Q109" s="53">
        <f ca="1">DSUM($B$60:$Y$69,Q$60,$C$77:$D109)</f>
        <v>2.7622407605962462</v>
      </c>
      <c r="R109" s="53">
        <f ca="1">DSUM($B$60:$Y$69,R$60,$C$77:$D109)</f>
        <v>2.5717997794127543</v>
      </c>
      <c r="S109" s="53">
        <f ca="1">DSUM($B$60:$Y$69,S$60,$C$77:$D109)</f>
        <v>2.4159728478082374</v>
      </c>
      <c r="T109" s="53">
        <f ca="1">DSUM($B$60:$Y$69,T$60,$C$77:$D109)</f>
        <v>2.2714682994914264</v>
      </c>
      <c r="U109" s="53">
        <f ca="1">DSUM($B$60:$Y$69,U$60,$C$77:$D109)</f>
        <v>2.1365699691496198</v>
      </c>
      <c r="V109" s="53">
        <f ca="1">DSUM($B$60:$Y$69,V$60,$C$77:$D109)</f>
        <v>2.0105742833853797</v>
      </c>
      <c r="W109" s="53">
        <f ca="1">DSUM($B$60:$Y$69,W$60,$C$77:$D109)</f>
        <v>1.8929754774346192</v>
      </c>
      <c r="X109" s="53">
        <f ca="1">DSUM($B$60:$Y$69,X$60,$C$77:$D109)</f>
        <v>1.7824542152887983</v>
      </c>
      <c r="Y109" s="53">
        <f ca="1">DSUM($B$60:$Y$69,Y$60,$C$77:$D109)</f>
        <v>82.937385841298237</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c r="E111" s="36">
        <f ca="1">E109</f>
        <v>0.91165252934148144</v>
      </c>
      <c r="F111" s="36">
        <f ca="1">F109+E111</f>
        <v>2.7119221449981961</v>
      </c>
      <c r="G111" s="36">
        <f t="shared" ref="G111:X111" ca="1" si="32">G109+F111</f>
        <v>5.3502456179346884</v>
      </c>
      <c r="H111" s="36">
        <f t="shared" ca="1" si="32"/>
        <v>8.7500691776159165</v>
      </c>
      <c r="I111" s="36">
        <f t="shared" ca="1" si="32"/>
        <v>12.811914809959621</v>
      </c>
      <c r="J111" s="36">
        <f t="shared" ca="1" si="32"/>
        <v>17.162186487009755</v>
      </c>
      <c r="K111" s="36">
        <f t="shared" ca="1" si="32"/>
        <v>21.240990018698884</v>
      </c>
      <c r="L111" s="36">
        <f t="shared" ca="1" si="32"/>
        <v>25.062757103399793</v>
      </c>
      <c r="M111" s="36">
        <f t="shared" ca="1" si="32"/>
        <v>28.642370431920391</v>
      </c>
      <c r="N111" s="36">
        <f t="shared" ca="1" si="32"/>
        <v>31.995094061106546</v>
      </c>
      <c r="O111" s="36">
        <f t="shared" ca="1" si="32"/>
        <v>35.136261801815152</v>
      </c>
      <c r="P111" s="36">
        <f t="shared" ca="1" si="32"/>
        <v>38.080853570979059</v>
      </c>
      <c r="Q111" s="36">
        <f t="shared" ca="1" si="32"/>
        <v>40.843094331575308</v>
      </c>
      <c r="R111" s="36">
        <f t="shared" ca="1" si="32"/>
        <v>43.414894110988065</v>
      </c>
      <c r="S111" s="36">
        <f t="shared" ca="1" si="32"/>
        <v>45.8308669587963</v>
      </c>
      <c r="T111" s="36">
        <f t="shared" ca="1" si="32"/>
        <v>48.102335258287724</v>
      </c>
      <c r="U111" s="36">
        <f t="shared" ca="1" si="32"/>
        <v>50.238905227437343</v>
      </c>
      <c r="V111" s="36">
        <f t="shared" ca="1" si="32"/>
        <v>52.249479510822724</v>
      </c>
      <c r="W111" s="36">
        <f t="shared" ca="1" si="32"/>
        <v>54.142454988257342</v>
      </c>
      <c r="X111" s="36">
        <f t="shared" ca="1" si="32"/>
        <v>55.924909203546143</v>
      </c>
      <c r="Y111" s="36"/>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ht="15">
      <c r="A112" s="61" t="s">
        <v>134</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ht="15">
      <c r="D113" s="70" t="str">
        <f>C30</f>
        <v>Solar Water Heater - Retro</v>
      </c>
      <c r="E113" s="64">
        <f t="shared" ref="E113:X113" si="33">E11</f>
        <v>2016</v>
      </c>
      <c r="F113" s="65">
        <f t="shared" si="33"/>
        <v>2017</v>
      </c>
      <c r="G113" s="65">
        <f t="shared" si="33"/>
        <v>2018</v>
      </c>
      <c r="H113" s="65">
        <f t="shared" si="33"/>
        <v>2019</v>
      </c>
      <c r="I113" s="65">
        <f t="shared" si="33"/>
        <v>2020</v>
      </c>
      <c r="J113" s="65">
        <f t="shared" si="33"/>
        <v>2021</v>
      </c>
      <c r="K113" s="65">
        <f t="shared" si="33"/>
        <v>2022</v>
      </c>
      <c r="L113" s="65">
        <f t="shared" si="33"/>
        <v>2023</v>
      </c>
      <c r="M113" s="65">
        <f t="shared" si="33"/>
        <v>2024</v>
      </c>
      <c r="N113" s="65">
        <f t="shared" si="33"/>
        <v>2025</v>
      </c>
      <c r="O113" s="65">
        <f t="shared" si="33"/>
        <v>2026</v>
      </c>
      <c r="P113" s="65">
        <f t="shared" si="33"/>
        <v>2027</v>
      </c>
      <c r="Q113" s="65">
        <f t="shared" si="33"/>
        <v>2028</v>
      </c>
      <c r="R113" s="65">
        <f t="shared" si="33"/>
        <v>2029</v>
      </c>
      <c r="S113" s="65">
        <f t="shared" si="33"/>
        <v>2030</v>
      </c>
      <c r="T113" s="65">
        <f t="shared" si="33"/>
        <v>2031</v>
      </c>
      <c r="U113" s="65">
        <f t="shared" si="33"/>
        <v>2032</v>
      </c>
      <c r="V113" s="65">
        <f t="shared" si="33"/>
        <v>2033</v>
      </c>
      <c r="W113" s="65">
        <f t="shared" si="33"/>
        <v>2034</v>
      </c>
      <c r="X113" s="65">
        <f t="shared" si="33"/>
        <v>2035</v>
      </c>
      <c r="Y113" s="66" t="s">
        <v>61</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ht="15">
      <c r="E114" s="67" t="str">
        <f>CONCATENATE("aMW_",E$11)</f>
        <v>aMW_2016</v>
      </c>
      <c r="F114" s="68" t="str">
        <f t="shared" ref="F114:X114" si="34">CONCATENATE("aMW_",F$11)</f>
        <v>aMW_2017</v>
      </c>
      <c r="G114" s="68" t="str">
        <f t="shared" si="34"/>
        <v>aMW_2018</v>
      </c>
      <c r="H114" s="68" t="str">
        <f t="shared" si="34"/>
        <v>aMW_2019</v>
      </c>
      <c r="I114" s="68" t="str">
        <f t="shared" si="34"/>
        <v>aMW_2020</v>
      </c>
      <c r="J114" s="68" t="str">
        <f t="shared" si="34"/>
        <v>aMW_2021</v>
      </c>
      <c r="K114" s="68" t="str">
        <f t="shared" si="34"/>
        <v>aMW_2022</v>
      </c>
      <c r="L114" s="68" t="str">
        <f t="shared" si="34"/>
        <v>aMW_2023</v>
      </c>
      <c r="M114" s="68" t="str">
        <f t="shared" si="34"/>
        <v>aMW_2024</v>
      </c>
      <c r="N114" s="68" t="str">
        <f t="shared" si="34"/>
        <v>aMW_2025</v>
      </c>
      <c r="O114" s="68" t="str">
        <f t="shared" si="34"/>
        <v>aMW_2026</v>
      </c>
      <c r="P114" s="68" t="str">
        <f t="shared" si="34"/>
        <v>aMW_2027</v>
      </c>
      <c r="Q114" s="68" t="str">
        <f t="shared" si="34"/>
        <v>aMW_2028</v>
      </c>
      <c r="R114" s="68" t="str">
        <f t="shared" si="34"/>
        <v>aMW_2029</v>
      </c>
      <c r="S114" s="68" t="str">
        <f t="shared" si="34"/>
        <v>aMW_2030</v>
      </c>
      <c r="T114" s="68" t="str">
        <f t="shared" si="34"/>
        <v>aMW_2031</v>
      </c>
      <c r="U114" s="68" t="str">
        <f t="shared" si="34"/>
        <v>aMW_2032</v>
      </c>
      <c r="V114" s="68" t="str">
        <f t="shared" si="34"/>
        <v>aMW_2033</v>
      </c>
      <c r="W114" s="68" t="str">
        <f t="shared" si="34"/>
        <v>aMW_2034</v>
      </c>
      <c r="X114" s="68" t="str">
        <f t="shared" si="34"/>
        <v>aMW_2035</v>
      </c>
      <c r="Y114" s="69" t="s">
        <v>61</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9" t="s">
        <v>70</v>
      </c>
      <c r="E115" s="57">
        <f>E78</f>
        <v>0</v>
      </c>
      <c r="F115" s="57">
        <f t="shared" ref="F115:W115" si="35">F78</f>
        <v>0</v>
      </c>
      <c r="G115" s="57">
        <f t="shared" si="35"/>
        <v>0</v>
      </c>
      <c r="H115" s="57">
        <f t="shared" si="35"/>
        <v>0</v>
      </c>
      <c r="I115" s="57">
        <f t="shared" si="35"/>
        <v>0</v>
      </c>
      <c r="J115" s="57">
        <f t="shared" si="35"/>
        <v>0</v>
      </c>
      <c r="K115" s="57">
        <f t="shared" si="35"/>
        <v>0</v>
      </c>
      <c r="L115" s="57">
        <f t="shared" si="35"/>
        <v>0</v>
      </c>
      <c r="M115" s="57">
        <f t="shared" si="35"/>
        <v>0</v>
      </c>
      <c r="N115" s="57">
        <f t="shared" si="35"/>
        <v>0</v>
      </c>
      <c r="O115" s="57">
        <f t="shared" si="35"/>
        <v>0</v>
      </c>
      <c r="P115" s="57">
        <f t="shared" si="35"/>
        <v>0</v>
      </c>
      <c r="Q115" s="57">
        <f t="shared" si="35"/>
        <v>0</v>
      </c>
      <c r="R115" s="57">
        <f t="shared" si="35"/>
        <v>0</v>
      </c>
      <c r="S115" s="57">
        <f t="shared" si="35"/>
        <v>0</v>
      </c>
      <c r="T115" s="57">
        <f t="shared" si="35"/>
        <v>0</v>
      </c>
      <c r="U115" s="57">
        <f t="shared" si="35"/>
        <v>0</v>
      </c>
      <c r="V115" s="57">
        <f t="shared" si="35"/>
        <v>0</v>
      </c>
      <c r="W115" s="57">
        <f t="shared" si="35"/>
        <v>0</v>
      </c>
      <c r="X115" s="57">
        <f>X78</f>
        <v>0</v>
      </c>
      <c r="Y115" s="57">
        <f>Y78</f>
        <v>0</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9" t="s">
        <v>217</v>
      </c>
      <c r="E116" s="57">
        <f>E79-E78</f>
        <v>0</v>
      </c>
      <c r="F116" s="57">
        <f>F79-F78</f>
        <v>0</v>
      </c>
      <c r="G116" s="57">
        <f t="shared" ref="G116:Y129" si="36">G79-G78</f>
        <v>0</v>
      </c>
      <c r="H116" s="57">
        <f t="shared" si="36"/>
        <v>0</v>
      </c>
      <c r="I116" s="57">
        <f t="shared" si="36"/>
        <v>0</v>
      </c>
      <c r="J116" s="57">
        <f t="shared" si="36"/>
        <v>0</v>
      </c>
      <c r="K116" s="57">
        <f t="shared" si="36"/>
        <v>0</v>
      </c>
      <c r="L116" s="57">
        <f t="shared" si="36"/>
        <v>0</v>
      </c>
      <c r="M116" s="57">
        <f t="shared" si="36"/>
        <v>0</v>
      </c>
      <c r="N116" s="57">
        <f>N79-N78</f>
        <v>0</v>
      </c>
      <c r="O116" s="57">
        <f t="shared" si="36"/>
        <v>0</v>
      </c>
      <c r="P116" s="57">
        <f t="shared" si="36"/>
        <v>0</v>
      </c>
      <c r="Q116" s="57">
        <f t="shared" si="36"/>
        <v>0</v>
      </c>
      <c r="R116" s="57">
        <f t="shared" si="36"/>
        <v>0</v>
      </c>
      <c r="S116" s="57">
        <f t="shared" si="36"/>
        <v>0</v>
      </c>
      <c r="T116" s="57">
        <f t="shared" si="36"/>
        <v>0</v>
      </c>
      <c r="U116" s="57">
        <f t="shared" si="36"/>
        <v>0</v>
      </c>
      <c r="V116" s="57">
        <f t="shared" si="36"/>
        <v>0</v>
      </c>
      <c r="W116" s="57">
        <f t="shared" si="36"/>
        <v>0</v>
      </c>
      <c r="X116" s="57">
        <f t="shared" si="36"/>
        <v>0</v>
      </c>
      <c r="Y116" s="57">
        <f>Y79-Y78</f>
        <v>0</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9" t="s">
        <v>75</v>
      </c>
      <c r="E117" s="57">
        <f t="shared" ref="E117:T136" si="37">E80-E79</f>
        <v>0</v>
      </c>
      <c r="F117" s="57">
        <f t="shared" ref="F117:T132" si="38">F80-F79</f>
        <v>0</v>
      </c>
      <c r="G117" s="57">
        <f t="shared" si="36"/>
        <v>0</v>
      </c>
      <c r="H117" s="57">
        <f t="shared" si="36"/>
        <v>0</v>
      </c>
      <c r="I117" s="57">
        <f t="shared" si="36"/>
        <v>0</v>
      </c>
      <c r="J117" s="57">
        <f t="shared" si="36"/>
        <v>0</v>
      </c>
      <c r="K117" s="57">
        <f t="shared" si="36"/>
        <v>0</v>
      </c>
      <c r="L117" s="57">
        <f t="shared" si="36"/>
        <v>0</v>
      </c>
      <c r="M117" s="57">
        <f t="shared" si="36"/>
        <v>0</v>
      </c>
      <c r="N117" s="57">
        <f t="shared" si="36"/>
        <v>0</v>
      </c>
      <c r="O117" s="57">
        <f t="shared" si="36"/>
        <v>0</v>
      </c>
      <c r="P117" s="57">
        <f t="shared" si="36"/>
        <v>0</v>
      </c>
      <c r="Q117" s="57">
        <f t="shared" si="36"/>
        <v>0</v>
      </c>
      <c r="R117" s="57">
        <f t="shared" si="36"/>
        <v>0</v>
      </c>
      <c r="S117" s="57">
        <f t="shared" si="36"/>
        <v>0</v>
      </c>
      <c r="T117" s="57">
        <f t="shared" si="36"/>
        <v>0</v>
      </c>
      <c r="U117" s="57">
        <f t="shared" si="36"/>
        <v>0</v>
      </c>
      <c r="V117" s="57">
        <f t="shared" si="36"/>
        <v>0</v>
      </c>
      <c r="W117" s="57">
        <f t="shared" si="36"/>
        <v>0</v>
      </c>
      <c r="X117" s="57">
        <f t="shared" si="36"/>
        <v>0</v>
      </c>
      <c r="Y117" s="57">
        <f t="shared" si="36"/>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9" t="s">
        <v>78</v>
      </c>
      <c r="E118" s="57">
        <f t="shared" si="37"/>
        <v>0</v>
      </c>
      <c r="F118" s="57">
        <f t="shared" si="38"/>
        <v>0</v>
      </c>
      <c r="G118" s="57">
        <f t="shared" si="36"/>
        <v>0</v>
      </c>
      <c r="H118" s="57">
        <f t="shared" si="36"/>
        <v>0</v>
      </c>
      <c r="I118" s="57">
        <f t="shared" si="36"/>
        <v>0</v>
      </c>
      <c r="J118" s="57">
        <f t="shared" si="36"/>
        <v>0</v>
      </c>
      <c r="K118" s="57">
        <f t="shared" si="36"/>
        <v>0</v>
      </c>
      <c r="L118" s="57">
        <f t="shared" si="36"/>
        <v>0</v>
      </c>
      <c r="M118" s="57">
        <f t="shared" si="36"/>
        <v>0</v>
      </c>
      <c r="N118" s="57">
        <f t="shared" si="36"/>
        <v>0</v>
      </c>
      <c r="O118" s="57">
        <f t="shared" si="36"/>
        <v>0</v>
      </c>
      <c r="P118" s="57">
        <f t="shared" si="36"/>
        <v>0</v>
      </c>
      <c r="Q118" s="57">
        <f t="shared" si="36"/>
        <v>0</v>
      </c>
      <c r="R118" s="57">
        <f t="shared" si="36"/>
        <v>0</v>
      </c>
      <c r="S118" s="57">
        <f t="shared" si="36"/>
        <v>0</v>
      </c>
      <c r="T118" s="57">
        <f t="shared" si="36"/>
        <v>0</v>
      </c>
      <c r="U118" s="57">
        <f t="shared" si="36"/>
        <v>0</v>
      </c>
      <c r="V118" s="57">
        <f t="shared" si="36"/>
        <v>0</v>
      </c>
      <c r="W118" s="57">
        <f t="shared" si="36"/>
        <v>0</v>
      </c>
      <c r="X118" s="57">
        <f t="shared" si="36"/>
        <v>0</v>
      </c>
      <c r="Y118" s="57">
        <f t="shared" si="36"/>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9" t="s">
        <v>81</v>
      </c>
      <c r="E119" s="57">
        <f t="shared" si="37"/>
        <v>0</v>
      </c>
      <c r="F119" s="57">
        <f t="shared" si="38"/>
        <v>0</v>
      </c>
      <c r="G119" s="57">
        <f t="shared" si="36"/>
        <v>0</v>
      </c>
      <c r="H119" s="57">
        <f t="shared" si="36"/>
        <v>0</v>
      </c>
      <c r="I119" s="57">
        <f t="shared" si="36"/>
        <v>0</v>
      </c>
      <c r="J119" s="57">
        <f t="shared" si="36"/>
        <v>0</v>
      </c>
      <c r="K119" s="57">
        <f t="shared" si="36"/>
        <v>0</v>
      </c>
      <c r="L119" s="57">
        <f t="shared" si="36"/>
        <v>0</v>
      </c>
      <c r="M119" s="57">
        <f t="shared" si="36"/>
        <v>0</v>
      </c>
      <c r="N119" s="57">
        <f t="shared" si="36"/>
        <v>0</v>
      </c>
      <c r="O119" s="57">
        <f t="shared" si="36"/>
        <v>0</v>
      </c>
      <c r="P119" s="57">
        <f t="shared" si="36"/>
        <v>0</v>
      </c>
      <c r="Q119" s="57">
        <f t="shared" si="36"/>
        <v>0</v>
      </c>
      <c r="R119" s="57">
        <f t="shared" si="36"/>
        <v>0</v>
      </c>
      <c r="S119" s="57">
        <f t="shared" si="36"/>
        <v>0</v>
      </c>
      <c r="T119" s="57">
        <f t="shared" si="36"/>
        <v>0</v>
      </c>
      <c r="U119" s="57">
        <f t="shared" si="36"/>
        <v>0</v>
      </c>
      <c r="V119" s="57">
        <f t="shared" si="36"/>
        <v>0</v>
      </c>
      <c r="W119" s="57">
        <f t="shared" si="36"/>
        <v>0</v>
      </c>
      <c r="X119" s="57">
        <f t="shared" si="36"/>
        <v>0</v>
      </c>
      <c r="Y119" s="57">
        <f t="shared" si="36"/>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9" t="s">
        <v>84</v>
      </c>
      <c r="E120" s="57">
        <f t="shared" si="37"/>
        <v>0</v>
      </c>
      <c r="F120" s="57">
        <f t="shared" si="38"/>
        <v>0</v>
      </c>
      <c r="G120" s="57">
        <f t="shared" si="36"/>
        <v>0</v>
      </c>
      <c r="H120" s="57">
        <f t="shared" si="36"/>
        <v>0</v>
      </c>
      <c r="I120" s="57">
        <f t="shared" si="36"/>
        <v>0</v>
      </c>
      <c r="J120" s="57">
        <f t="shared" si="36"/>
        <v>0</v>
      </c>
      <c r="K120" s="57">
        <f t="shared" si="36"/>
        <v>0</v>
      </c>
      <c r="L120" s="57">
        <f t="shared" si="36"/>
        <v>0</v>
      </c>
      <c r="M120" s="57">
        <f t="shared" si="36"/>
        <v>0</v>
      </c>
      <c r="N120" s="57">
        <f t="shared" si="36"/>
        <v>0</v>
      </c>
      <c r="O120" s="57">
        <f t="shared" si="36"/>
        <v>0</v>
      </c>
      <c r="P120" s="57">
        <f t="shared" si="36"/>
        <v>0</v>
      </c>
      <c r="Q120" s="57">
        <f t="shared" si="36"/>
        <v>0</v>
      </c>
      <c r="R120" s="57">
        <f t="shared" si="36"/>
        <v>0</v>
      </c>
      <c r="S120" s="57">
        <f t="shared" si="36"/>
        <v>0</v>
      </c>
      <c r="T120" s="57">
        <f t="shared" si="36"/>
        <v>0</v>
      </c>
      <c r="U120" s="57">
        <f t="shared" si="36"/>
        <v>0</v>
      </c>
      <c r="V120" s="57">
        <f t="shared" si="36"/>
        <v>0</v>
      </c>
      <c r="W120" s="57">
        <f t="shared" si="36"/>
        <v>0</v>
      </c>
      <c r="X120" s="57">
        <f t="shared" si="36"/>
        <v>0</v>
      </c>
      <c r="Y120" s="57">
        <f t="shared" si="36"/>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9" t="s">
        <v>87</v>
      </c>
      <c r="E121" s="57">
        <f t="shared" si="37"/>
        <v>0</v>
      </c>
      <c r="F121" s="57">
        <f t="shared" si="38"/>
        <v>0</v>
      </c>
      <c r="G121" s="57">
        <f t="shared" si="36"/>
        <v>0</v>
      </c>
      <c r="H121" s="57">
        <f t="shared" si="36"/>
        <v>0</v>
      </c>
      <c r="I121" s="57">
        <f t="shared" si="36"/>
        <v>0</v>
      </c>
      <c r="J121" s="57">
        <f t="shared" si="36"/>
        <v>0</v>
      </c>
      <c r="K121" s="57">
        <f t="shared" si="36"/>
        <v>0</v>
      </c>
      <c r="L121" s="57">
        <f t="shared" si="36"/>
        <v>0</v>
      </c>
      <c r="M121" s="57">
        <f t="shared" si="36"/>
        <v>0</v>
      </c>
      <c r="N121" s="57">
        <f t="shared" si="36"/>
        <v>0</v>
      </c>
      <c r="O121" s="57">
        <f t="shared" si="36"/>
        <v>0</v>
      </c>
      <c r="P121" s="57">
        <f t="shared" si="36"/>
        <v>0</v>
      </c>
      <c r="Q121" s="57">
        <f t="shared" si="36"/>
        <v>0</v>
      </c>
      <c r="R121" s="57">
        <f t="shared" si="36"/>
        <v>0</v>
      </c>
      <c r="S121" s="57">
        <f t="shared" si="36"/>
        <v>0</v>
      </c>
      <c r="T121" s="57">
        <f t="shared" si="36"/>
        <v>0</v>
      </c>
      <c r="U121" s="57">
        <f t="shared" si="36"/>
        <v>0</v>
      </c>
      <c r="V121" s="57">
        <f t="shared" si="36"/>
        <v>0</v>
      </c>
      <c r="W121" s="57">
        <f t="shared" si="36"/>
        <v>0</v>
      </c>
      <c r="X121" s="57">
        <f t="shared" si="36"/>
        <v>0</v>
      </c>
      <c r="Y121" s="57">
        <f t="shared" si="36"/>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9" t="s">
        <v>90</v>
      </c>
      <c r="E122" s="57">
        <f t="shared" si="37"/>
        <v>0</v>
      </c>
      <c r="F122" s="57">
        <f t="shared" si="38"/>
        <v>0</v>
      </c>
      <c r="G122" s="57">
        <f t="shared" si="36"/>
        <v>0</v>
      </c>
      <c r="H122" s="57">
        <f t="shared" si="36"/>
        <v>0</v>
      </c>
      <c r="I122" s="57">
        <f t="shared" si="36"/>
        <v>0</v>
      </c>
      <c r="J122" s="57">
        <f t="shared" si="36"/>
        <v>0</v>
      </c>
      <c r="K122" s="57">
        <f t="shared" si="36"/>
        <v>0</v>
      </c>
      <c r="L122" s="57">
        <f t="shared" si="36"/>
        <v>0</v>
      </c>
      <c r="M122" s="57">
        <f t="shared" si="36"/>
        <v>0</v>
      </c>
      <c r="N122" s="57">
        <f t="shared" si="36"/>
        <v>0</v>
      </c>
      <c r="O122" s="57">
        <f t="shared" si="36"/>
        <v>0</v>
      </c>
      <c r="P122" s="57">
        <f t="shared" si="36"/>
        <v>0</v>
      </c>
      <c r="Q122" s="57">
        <f t="shared" si="36"/>
        <v>0</v>
      </c>
      <c r="R122" s="57">
        <f t="shared" si="36"/>
        <v>0</v>
      </c>
      <c r="S122" s="57">
        <f t="shared" si="36"/>
        <v>0</v>
      </c>
      <c r="T122" s="57">
        <f t="shared" si="36"/>
        <v>0</v>
      </c>
      <c r="U122" s="57">
        <f t="shared" si="36"/>
        <v>0</v>
      </c>
      <c r="V122" s="57">
        <f t="shared" si="36"/>
        <v>0</v>
      </c>
      <c r="W122" s="57">
        <f t="shared" si="36"/>
        <v>0</v>
      </c>
      <c r="X122" s="57">
        <f t="shared" si="36"/>
        <v>0</v>
      </c>
      <c r="Y122" s="57">
        <f t="shared" si="36"/>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9" t="s">
        <v>93</v>
      </c>
      <c r="E123" s="57">
        <f t="shared" si="37"/>
        <v>0</v>
      </c>
      <c r="F123" s="57">
        <f t="shared" si="38"/>
        <v>0</v>
      </c>
      <c r="G123" s="57">
        <f t="shared" si="36"/>
        <v>0</v>
      </c>
      <c r="H123" s="57">
        <f t="shared" si="36"/>
        <v>0</v>
      </c>
      <c r="I123" s="57">
        <f t="shared" si="36"/>
        <v>0</v>
      </c>
      <c r="J123" s="57">
        <f t="shared" si="36"/>
        <v>0</v>
      </c>
      <c r="K123" s="57">
        <f t="shared" si="36"/>
        <v>0</v>
      </c>
      <c r="L123" s="57">
        <f t="shared" si="36"/>
        <v>0</v>
      </c>
      <c r="M123" s="57">
        <f t="shared" si="36"/>
        <v>0</v>
      </c>
      <c r="N123" s="57">
        <f t="shared" si="36"/>
        <v>0</v>
      </c>
      <c r="O123" s="57">
        <f t="shared" si="36"/>
        <v>0</v>
      </c>
      <c r="P123" s="57">
        <f t="shared" si="36"/>
        <v>0</v>
      </c>
      <c r="Q123" s="57">
        <f t="shared" si="36"/>
        <v>0</v>
      </c>
      <c r="R123" s="57">
        <f t="shared" si="36"/>
        <v>0</v>
      </c>
      <c r="S123" s="57">
        <f t="shared" si="36"/>
        <v>0</v>
      </c>
      <c r="T123" s="57">
        <f t="shared" si="36"/>
        <v>0</v>
      </c>
      <c r="U123" s="57">
        <f t="shared" si="36"/>
        <v>0</v>
      </c>
      <c r="V123" s="57">
        <f t="shared" si="36"/>
        <v>0</v>
      </c>
      <c r="W123" s="57">
        <f t="shared" si="36"/>
        <v>0</v>
      </c>
      <c r="X123" s="57">
        <f t="shared" si="36"/>
        <v>0</v>
      </c>
      <c r="Y123" s="57">
        <f t="shared" si="36"/>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9" t="s">
        <v>96</v>
      </c>
      <c r="E124" s="57">
        <f t="shared" si="37"/>
        <v>0</v>
      </c>
      <c r="F124" s="57">
        <f t="shared" si="38"/>
        <v>0</v>
      </c>
      <c r="G124" s="57">
        <f t="shared" si="36"/>
        <v>0</v>
      </c>
      <c r="H124" s="57">
        <f t="shared" si="36"/>
        <v>0</v>
      </c>
      <c r="I124" s="57">
        <f t="shared" si="36"/>
        <v>0</v>
      </c>
      <c r="J124" s="57">
        <f t="shared" si="36"/>
        <v>0</v>
      </c>
      <c r="K124" s="57">
        <f t="shared" si="36"/>
        <v>0</v>
      </c>
      <c r="L124" s="57">
        <f t="shared" si="36"/>
        <v>0</v>
      </c>
      <c r="M124" s="57">
        <f t="shared" si="36"/>
        <v>0</v>
      </c>
      <c r="N124" s="57">
        <f t="shared" si="36"/>
        <v>0</v>
      </c>
      <c r="O124" s="57">
        <f t="shared" si="36"/>
        <v>0</v>
      </c>
      <c r="P124" s="57">
        <f t="shared" si="36"/>
        <v>0</v>
      </c>
      <c r="Q124" s="57">
        <f t="shared" si="36"/>
        <v>0</v>
      </c>
      <c r="R124" s="57">
        <f t="shared" si="36"/>
        <v>0</v>
      </c>
      <c r="S124" s="57">
        <f t="shared" si="36"/>
        <v>0</v>
      </c>
      <c r="T124" s="57">
        <f t="shared" si="36"/>
        <v>0</v>
      </c>
      <c r="U124" s="57">
        <f t="shared" si="36"/>
        <v>0</v>
      </c>
      <c r="V124" s="57">
        <f t="shared" si="36"/>
        <v>0</v>
      </c>
      <c r="W124" s="57">
        <f t="shared" si="36"/>
        <v>0</v>
      </c>
      <c r="X124" s="57">
        <f t="shared" si="36"/>
        <v>0</v>
      </c>
      <c r="Y124" s="57">
        <f t="shared" si="36"/>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9" t="s">
        <v>99</v>
      </c>
      <c r="E125" s="57">
        <f t="shared" si="37"/>
        <v>0</v>
      </c>
      <c r="F125" s="57">
        <f t="shared" si="38"/>
        <v>0</v>
      </c>
      <c r="G125" s="57">
        <f t="shared" si="36"/>
        <v>0</v>
      </c>
      <c r="H125" s="57">
        <f t="shared" si="36"/>
        <v>0</v>
      </c>
      <c r="I125" s="57">
        <f t="shared" si="36"/>
        <v>0</v>
      </c>
      <c r="J125" s="57">
        <f t="shared" si="36"/>
        <v>0</v>
      </c>
      <c r="K125" s="57">
        <f t="shared" si="36"/>
        <v>0</v>
      </c>
      <c r="L125" s="57">
        <f t="shared" si="36"/>
        <v>0</v>
      </c>
      <c r="M125" s="57">
        <f t="shared" si="36"/>
        <v>0</v>
      </c>
      <c r="N125" s="57">
        <f t="shared" si="36"/>
        <v>0</v>
      </c>
      <c r="O125" s="57">
        <f t="shared" si="36"/>
        <v>0</v>
      </c>
      <c r="P125" s="57">
        <f t="shared" si="36"/>
        <v>0</v>
      </c>
      <c r="Q125" s="57">
        <f t="shared" si="36"/>
        <v>0</v>
      </c>
      <c r="R125" s="57">
        <f t="shared" si="36"/>
        <v>0</v>
      </c>
      <c r="S125" s="57">
        <f t="shared" si="36"/>
        <v>0</v>
      </c>
      <c r="T125" s="57">
        <f t="shared" si="36"/>
        <v>0</v>
      </c>
      <c r="U125" s="57">
        <f t="shared" si="36"/>
        <v>0</v>
      </c>
      <c r="V125" s="57">
        <f t="shared" si="36"/>
        <v>0</v>
      </c>
      <c r="W125" s="57">
        <f t="shared" si="36"/>
        <v>0</v>
      </c>
      <c r="X125" s="57">
        <f t="shared" si="36"/>
        <v>0</v>
      </c>
      <c r="Y125" s="57">
        <f t="shared" si="36"/>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9" t="s">
        <v>102</v>
      </c>
      <c r="E126" s="57">
        <f t="shared" si="37"/>
        <v>0</v>
      </c>
      <c r="F126" s="57">
        <f t="shared" si="38"/>
        <v>0</v>
      </c>
      <c r="G126" s="57">
        <f t="shared" si="36"/>
        <v>0</v>
      </c>
      <c r="H126" s="57">
        <f t="shared" si="36"/>
        <v>0</v>
      </c>
      <c r="I126" s="57">
        <f t="shared" si="36"/>
        <v>0</v>
      </c>
      <c r="J126" s="57">
        <f t="shared" si="36"/>
        <v>0</v>
      </c>
      <c r="K126" s="57">
        <f t="shared" si="36"/>
        <v>0</v>
      </c>
      <c r="L126" s="57">
        <f t="shared" si="36"/>
        <v>0</v>
      </c>
      <c r="M126" s="57">
        <f t="shared" si="36"/>
        <v>0</v>
      </c>
      <c r="N126" s="57">
        <f t="shared" si="36"/>
        <v>0</v>
      </c>
      <c r="O126" s="57">
        <f t="shared" si="36"/>
        <v>0</v>
      </c>
      <c r="P126" s="57">
        <f t="shared" si="36"/>
        <v>0</v>
      </c>
      <c r="Q126" s="57">
        <f t="shared" si="36"/>
        <v>0</v>
      </c>
      <c r="R126" s="57">
        <f t="shared" si="36"/>
        <v>0</v>
      </c>
      <c r="S126" s="57">
        <f t="shared" si="36"/>
        <v>0</v>
      </c>
      <c r="T126" s="57">
        <f t="shared" si="36"/>
        <v>0</v>
      </c>
      <c r="U126" s="57">
        <f t="shared" si="36"/>
        <v>0</v>
      </c>
      <c r="V126" s="57">
        <f t="shared" si="36"/>
        <v>0</v>
      </c>
      <c r="W126" s="57">
        <f t="shared" si="36"/>
        <v>0</v>
      </c>
      <c r="X126" s="57">
        <f t="shared" si="36"/>
        <v>0</v>
      </c>
      <c r="Y126" s="57">
        <f t="shared" si="36"/>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9" t="s">
        <v>105</v>
      </c>
      <c r="E127" s="57">
        <f t="shared" si="37"/>
        <v>0</v>
      </c>
      <c r="F127" s="57">
        <f t="shared" si="38"/>
        <v>0</v>
      </c>
      <c r="G127" s="57">
        <f t="shared" si="36"/>
        <v>0</v>
      </c>
      <c r="H127" s="57">
        <f t="shared" si="36"/>
        <v>0</v>
      </c>
      <c r="I127" s="57">
        <f t="shared" si="36"/>
        <v>0</v>
      </c>
      <c r="J127" s="57">
        <f t="shared" si="36"/>
        <v>0</v>
      </c>
      <c r="K127" s="57">
        <f t="shared" si="36"/>
        <v>0</v>
      </c>
      <c r="L127" s="57">
        <f t="shared" si="36"/>
        <v>0</v>
      </c>
      <c r="M127" s="57">
        <f t="shared" si="36"/>
        <v>0</v>
      </c>
      <c r="N127" s="57">
        <f t="shared" si="36"/>
        <v>0</v>
      </c>
      <c r="O127" s="57">
        <f t="shared" si="36"/>
        <v>0</v>
      </c>
      <c r="P127" s="57">
        <f t="shared" si="36"/>
        <v>0</v>
      </c>
      <c r="Q127" s="57">
        <f t="shared" si="36"/>
        <v>0</v>
      </c>
      <c r="R127" s="57">
        <f t="shared" si="36"/>
        <v>0</v>
      </c>
      <c r="S127" s="57">
        <f t="shared" si="36"/>
        <v>0</v>
      </c>
      <c r="T127" s="57">
        <f t="shared" si="36"/>
        <v>0</v>
      </c>
      <c r="U127" s="57">
        <f t="shared" si="36"/>
        <v>0</v>
      </c>
      <c r="V127" s="57">
        <f t="shared" si="36"/>
        <v>0</v>
      </c>
      <c r="W127" s="57">
        <f t="shared" si="36"/>
        <v>0</v>
      </c>
      <c r="X127" s="57">
        <f t="shared" si="36"/>
        <v>0</v>
      </c>
      <c r="Y127" s="57">
        <f t="shared" si="36"/>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D128" s="9" t="s">
        <v>108</v>
      </c>
      <c r="E128" s="57">
        <f t="shared" si="37"/>
        <v>0</v>
      </c>
      <c r="F128" s="57">
        <f t="shared" si="38"/>
        <v>0</v>
      </c>
      <c r="G128" s="57">
        <f t="shared" si="36"/>
        <v>0</v>
      </c>
      <c r="H128" s="57">
        <f t="shared" si="36"/>
        <v>0</v>
      </c>
      <c r="I128" s="57">
        <f t="shared" si="36"/>
        <v>0</v>
      </c>
      <c r="J128" s="57">
        <f t="shared" si="36"/>
        <v>0</v>
      </c>
      <c r="K128" s="57">
        <f t="shared" si="36"/>
        <v>0</v>
      </c>
      <c r="L128" s="57">
        <f t="shared" si="36"/>
        <v>0</v>
      </c>
      <c r="M128" s="57">
        <f t="shared" si="36"/>
        <v>0</v>
      </c>
      <c r="N128" s="57">
        <f t="shared" si="36"/>
        <v>0</v>
      </c>
      <c r="O128" s="57">
        <f t="shared" si="36"/>
        <v>0</v>
      </c>
      <c r="P128" s="57">
        <f t="shared" si="36"/>
        <v>0</v>
      </c>
      <c r="Q128" s="57">
        <f t="shared" si="36"/>
        <v>0</v>
      </c>
      <c r="R128" s="57">
        <f t="shared" si="36"/>
        <v>0</v>
      </c>
      <c r="S128" s="57">
        <f t="shared" si="36"/>
        <v>0</v>
      </c>
      <c r="T128" s="57">
        <f t="shared" si="36"/>
        <v>0</v>
      </c>
      <c r="U128" s="57">
        <f t="shared" si="36"/>
        <v>0</v>
      </c>
      <c r="V128" s="57">
        <f t="shared" si="36"/>
        <v>0</v>
      </c>
      <c r="W128" s="57">
        <f t="shared" si="36"/>
        <v>0</v>
      </c>
      <c r="X128" s="57">
        <f t="shared" si="36"/>
        <v>0</v>
      </c>
      <c r="Y128" s="57">
        <f t="shared" si="36"/>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9" t="s">
        <v>111</v>
      </c>
      <c r="E129" s="57">
        <f t="shared" si="37"/>
        <v>0</v>
      </c>
      <c r="F129" s="57">
        <f t="shared" si="38"/>
        <v>0</v>
      </c>
      <c r="G129" s="57">
        <f t="shared" si="36"/>
        <v>0</v>
      </c>
      <c r="H129" s="57">
        <f t="shared" si="36"/>
        <v>0</v>
      </c>
      <c r="I129" s="57">
        <f t="shared" si="36"/>
        <v>0</v>
      </c>
      <c r="J129" s="57">
        <f t="shared" si="36"/>
        <v>0</v>
      </c>
      <c r="K129" s="57">
        <f t="shared" si="36"/>
        <v>0</v>
      </c>
      <c r="L129" s="57">
        <f t="shared" si="36"/>
        <v>0</v>
      </c>
      <c r="M129" s="57">
        <f t="shared" si="36"/>
        <v>0</v>
      </c>
      <c r="N129" s="57">
        <f t="shared" si="36"/>
        <v>0</v>
      </c>
      <c r="O129" s="57">
        <f t="shared" si="36"/>
        <v>0</v>
      </c>
      <c r="P129" s="57">
        <f t="shared" ref="P129:Y132" si="39">P92-P91</f>
        <v>0</v>
      </c>
      <c r="Q129" s="57">
        <f t="shared" si="39"/>
        <v>0</v>
      </c>
      <c r="R129" s="57">
        <f t="shared" si="39"/>
        <v>0</v>
      </c>
      <c r="S129" s="57">
        <f t="shared" si="39"/>
        <v>0</v>
      </c>
      <c r="T129" s="57">
        <f t="shared" si="39"/>
        <v>0</v>
      </c>
      <c r="U129" s="57">
        <f t="shared" si="39"/>
        <v>0</v>
      </c>
      <c r="V129" s="57">
        <f t="shared" si="39"/>
        <v>0</v>
      </c>
      <c r="W129" s="57">
        <f t="shared" si="39"/>
        <v>0</v>
      </c>
      <c r="X129" s="57">
        <f t="shared" si="39"/>
        <v>0</v>
      </c>
      <c r="Y129" s="57">
        <f t="shared" si="39"/>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9" t="s">
        <v>114</v>
      </c>
      <c r="E130" s="57">
        <f t="shared" si="37"/>
        <v>0</v>
      </c>
      <c r="F130" s="57">
        <f t="shared" si="38"/>
        <v>0</v>
      </c>
      <c r="G130" s="57">
        <f t="shared" si="38"/>
        <v>0</v>
      </c>
      <c r="H130" s="57">
        <f t="shared" si="38"/>
        <v>0</v>
      </c>
      <c r="I130" s="57">
        <f t="shared" si="38"/>
        <v>0</v>
      </c>
      <c r="J130" s="57">
        <f t="shared" si="38"/>
        <v>0</v>
      </c>
      <c r="K130" s="57">
        <f t="shared" si="38"/>
        <v>0</v>
      </c>
      <c r="L130" s="57">
        <f t="shared" si="38"/>
        <v>0</v>
      </c>
      <c r="M130" s="57">
        <f t="shared" si="38"/>
        <v>0</v>
      </c>
      <c r="N130" s="57">
        <f t="shared" si="38"/>
        <v>0</v>
      </c>
      <c r="O130" s="57">
        <f t="shared" si="38"/>
        <v>0</v>
      </c>
      <c r="P130" s="57">
        <f t="shared" si="38"/>
        <v>0</v>
      </c>
      <c r="Q130" s="57">
        <f t="shared" si="38"/>
        <v>0</v>
      </c>
      <c r="R130" s="57">
        <f t="shared" si="38"/>
        <v>0</v>
      </c>
      <c r="S130" s="57">
        <f t="shared" si="38"/>
        <v>0</v>
      </c>
      <c r="T130" s="57">
        <f t="shared" si="38"/>
        <v>0</v>
      </c>
      <c r="U130" s="57">
        <f t="shared" si="39"/>
        <v>0</v>
      </c>
      <c r="V130" s="57">
        <f t="shared" si="39"/>
        <v>0</v>
      </c>
      <c r="W130" s="57">
        <f t="shared" si="39"/>
        <v>0</v>
      </c>
      <c r="X130" s="57">
        <f t="shared" si="39"/>
        <v>0</v>
      </c>
      <c r="Y130" s="57">
        <f t="shared" si="39"/>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9" t="s">
        <v>117</v>
      </c>
      <c r="E131" s="57">
        <f t="shared" si="37"/>
        <v>0</v>
      </c>
      <c r="F131" s="57">
        <f t="shared" si="38"/>
        <v>0</v>
      </c>
      <c r="G131" s="57">
        <f t="shared" si="38"/>
        <v>0</v>
      </c>
      <c r="H131" s="57">
        <f t="shared" si="38"/>
        <v>0</v>
      </c>
      <c r="I131" s="57">
        <f t="shared" si="38"/>
        <v>0</v>
      </c>
      <c r="J131" s="57">
        <f t="shared" si="38"/>
        <v>0</v>
      </c>
      <c r="K131" s="57">
        <f t="shared" si="38"/>
        <v>0</v>
      </c>
      <c r="L131" s="57">
        <f t="shared" si="38"/>
        <v>0</v>
      </c>
      <c r="M131" s="57">
        <f t="shared" si="38"/>
        <v>0</v>
      </c>
      <c r="N131" s="57">
        <f t="shared" si="38"/>
        <v>0</v>
      </c>
      <c r="O131" s="57">
        <f t="shared" si="38"/>
        <v>0</v>
      </c>
      <c r="P131" s="57">
        <f t="shared" si="38"/>
        <v>0</v>
      </c>
      <c r="Q131" s="57">
        <f t="shared" si="38"/>
        <v>0</v>
      </c>
      <c r="R131" s="57">
        <f t="shared" si="38"/>
        <v>0</v>
      </c>
      <c r="S131" s="57">
        <f t="shared" si="38"/>
        <v>0</v>
      </c>
      <c r="T131" s="57">
        <f t="shared" si="38"/>
        <v>0</v>
      </c>
      <c r="U131" s="57">
        <f t="shared" si="39"/>
        <v>0</v>
      </c>
      <c r="V131" s="57">
        <f t="shared" si="39"/>
        <v>0</v>
      </c>
      <c r="W131" s="57">
        <f t="shared" si="39"/>
        <v>0</v>
      </c>
      <c r="X131" s="57">
        <f t="shared" si="39"/>
        <v>0</v>
      </c>
      <c r="Y131" s="57">
        <f t="shared" si="39"/>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9" t="s">
        <v>120</v>
      </c>
      <c r="E132" s="57">
        <f t="shared" si="37"/>
        <v>0</v>
      </c>
      <c r="F132" s="57">
        <f t="shared" si="38"/>
        <v>0</v>
      </c>
      <c r="G132" s="57">
        <f t="shared" si="38"/>
        <v>0</v>
      </c>
      <c r="H132" s="57">
        <f t="shared" si="38"/>
        <v>0</v>
      </c>
      <c r="I132" s="57">
        <f t="shared" si="38"/>
        <v>0</v>
      </c>
      <c r="J132" s="57">
        <f t="shared" si="38"/>
        <v>0</v>
      </c>
      <c r="K132" s="57">
        <f t="shared" si="38"/>
        <v>0</v>
      </c>
      <c r="L132" s="57">
        <f t="shared" si="38"/>
        <v>0</v>
      </c>
      <c r="M132" s="57">
        <f t="shared" si="38"/>
        <v>0</v>
      </c>
      <c r="N132" s="57">
        <f t="shared" si="38"/>
        <v>0</v>
      </c>
      <c r="O132" s="57">
        <f t="shared" si="38"/>
        <v>0</v>
      </c>
      <c r="P132" s="57">
        <f t="shared" si="38"/>
        <v>0</v>
      </c>
      <c r="Q132" s="57">
        <f t="shared" si="38"/>
        <v>0</v>
      </c>
      <c r="R132" s="57">
        <f t="shared" si="38"/>
        <v>0</v>
      </c>
      <c r="S132" s="57">
        <f t="shared" si="38"/>
        <v>0</v>
      </c>
      <c r="T132" s="57">
        <f t="shared" si="38"/>
        <v>0</v>
      </c>
      <c r="U132" s="57">
        <f t="shared" si="39"/>
        <v>0</v>
      </c>
      <c r="V132" s="57">
        <f t="shared" si="39"/>
        <v>0</v>
      </c>
      <c r="W132" s="57">
        <f t="shared" si="39"/>
        <v>0</v>
      </c>
      <c r="X132" s="57">
        <f t="shared" si="39"/>
        <v>0</v>
      </c>
      <c r="Y132" s="57">
        <f t="shared" si="39"/>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9" t="s">
        <v>123</v>
      </c>
      <c r="E133" s="57">
        <f t="shared" si="37"/>
        <v>0</v>
      </c>
      <c r="F133" s="57">
        <f t="shared" ref="F133:Y133" si="40">F96-F95</f>
        <v>0</v>
      </c>
      <c r="G133" s="57">
        <f t="shared" si="40"/>
        <v>0</v>
      </c>
      <c r="H133" s="57">
        <f t="shared" si="40"/>
        <v>0</v>
      </c>
      <c r="I133" s="57">
        <f t="shared" si="40"/>
        <v>0</v>
      </c>
      <c r="J133" s="57">
        <f t="shared" si="40"/>
        <v>0</v>
      </c>
      <c r="K133" s="57">
        <f t="shared" si="40"/>
        <v>0</v>
      </c>
      <c r="L133" s="57">
        <f t="shared" si="40"/>
        <v>0</v>
      </c>
      <c r="M133" s="57">
        <f t="shared" si="40"/>
        <v>0</v>
      </c>
      <c r="N133" s="57">
        <f t="shared" si="40"/>
        <v>0</v>
      </c>
      <c r="O133" s="57">
        <f t="shared" si="40"/>
        <v>0</v>
      </c>
      <c r="P133" s="57">
        <f t="shared" si="40"/>
        <v>0</v>
      </c>
      <c r="Q133" s="57">
        <f t="shared" si="40"/>
        <v>0</v>
      </c>
      <c r="R133" s="57">
        <f t="shared" si="40"/>
        <v>0</v>
      </c>
      <c r="S133" s="57">
        <f t="shared" si="40"/>
        <v>0</v>
      </c>
      <c r="T133" s="57">
        <f t="shared" si="40"/>
        <v>0</v>
      </c>
      <c r="U133" s="57">
        <f t="shared" si="40"/>
        <v>0</v>
      </c>
      <c r="V133" s="57">
        <f t="shared" si="40"/>
        <v>0</v>
      </c>
      <c r="W133" s="57">
        <f t="shared" si="40"/>
        <v>0</v>
      </c>
      <c r="X133" s="57">
        <f t="shared" si="40"/>
        <v>0</v>
      </c>
      <c r="Y133" s="57">
        <f t="shared" si="40"/>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9" t="s">
        <v>126</v>
      </c>
      <c r="E134" s="57">
        <f t="shared" si="37"/>
        <v>0</v>
      </c>
      <c r="F134" s="57">
        <f t="shared" ref="F134:Y135" si="41">F97-F96</f>
        <v>0</v>
      </c>
      <c r="G134" s="57">
        <f t="shared" si="41"/>
        <v>0</v>
      </c>
      <c r="H134" s="57">
        <f t="shared" si="41"/>
        <v>0</v>
      </c>
      <c r="I134" s="57">
        <f t="shared" si="41"/>
        <v>0</v>
      </c>
      <c r="J134" s="57">
        <f t="shared" si="41"/>
        <v>0</v>
      </c>
      <c r="K134" s="57">
        <f t="shared" si="41"/>
        <v>0</v>
      </c>
      <c r="L134" s="57">
        <f t="shared" si="41"/>
        <v>0</v>
      </c>
      <c r="M134" s="57">
        <f t="shared" si="41"/>
        <v>0</v>
      </c>
      <c r="N134" s="57">
        <f t="shared" si="41"/>
        <v>0</v>
      </c>
      <c r="O134" s="57">
        <f t="shared" si="41"/>
        <v>0</v>
      </c>
      <c r="P134" s="57">
        <f t="shared" si="41"/>
        <v>0</v>
      </c>
      <c r="Q134" s="57">
        <f t="shared" si="41"/>
        <v>0</v>
      </c>
      <c r="R134" s="57">
        <f t="shared" si="41"/>
        <v>0</v>
      </c>
      <c r="S134" s="57">
        <f t="shared" si="41"/>
        <v>0</v>
      </c>
      <c r="T134" s="57">
        <f t="shared" si="41"/>
        <v>0</v>
      </c>
      <c r="U134" s="57">
        <f t="shared" si="41"/>
        <v>0</v>
      </c>
      <c r="V134" s="57">
        <f t="shared" si="41"/>
        <v>0</v>
      </c>
      <c r="W134" s="57">
        <f t="shared" si="41"/>
        <v>0</v>
      </c>
      <c r="X134" s="57">
        <f t="shared" si="41"/>
        <v>0</v>
      </c>
      <c r="Y134" s="57">
        <f t="shared" si="41"/>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9" t="s">
        <v>129</v>
      </c>
      <c r="E135" s="57">
        <f t="shared" si="37"/>
        <v>0</v>
      </c>
      <c r="F135" s="57">
        <f t="shared" si="41"/>
        <v>0</v>
      </c>
      <c r="G135" s="57">
        <f t="shared" si="41"/>
        <v>0</v>
      </c>
      <c r="H135" s="57">
        <f t="shared" si="41"/>
        <v>0</v>
      </c>
      <c r="I135" s="57">
        <f t="shared" si="41"/>
        <v>0</v>
      </c>
      <c r="J135" s="57">
        <f t="shared" si="41"/>
        <v>0</v>
      </c>
      <c r="K135" s="57">
        <f t="shared" si="41"/>
        <v>0</v>
      </c>
      <c r="L135" s="57">
        <f t="shared" si="41"/>
        <v>0</v>
      </c>
      <c r="M135" s="57">
        <f t="shared" si="41"/>
        <v>0</v>
      </c>
      <c r="N135" s="57">
        <f t="shared" si="41"/>
        <v>0</v>
      </c>
      <c r="O135" s="57">
        <f t="shared" si="41"/>
        <v>0</v>
      </c>
      <c r="P135" s="57">
        <f t="shared" si="41"/>
        <v>0</v>
      </c>
      <c r="Q135" s="57">
        <f t="shared" si="41"/>
        <v>0</v>
      </c>
      <c r="R135" s="57">
        <f t="shared" si="41"/>
        <v>0</v>
      </c>
      <c r="S135" s="57">
        <f t="shared" si="41"/>
        <v>0</v>
      </c>
      <c r="T135" s="57">
        <f t="shared" si="41"/>
        <v>0</v>
      </c>
      <c r="U135" s="57">
        <f t="shared" si="41"/>
        <v>0</v>
      </c>
      <c r="V135" s="57">
        <f t="shared" si="41"/>
        <v>0</v>
      </c>
      <c r="W135" s="57">
        <f t="shared" si="41"/>
        <v>0</v>
      </c>
      <c r="X135" s="57">
        <f t="shared" si="41"/>
        <v>0</v>
      </c>
      <c r="Y135" s="57">
        <f t="shared" si="41"/>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9" t="s">
        <v>183</v>
      </c>
      <c r="E136" s="57">
        <f t="shared" si="37"/>
        <v>0</v>
      </c>
      <c r="F136" s="57">
        <f t="shared" si="37"/>
        <v>0</v>
      </c>
      <c r="G136" s="57">
        <f t="shared" si="37"/>
        <v>0</v>
      </c>
      <c r="H136" s="57">
        <f t="shared" si="37"/>
        <v>0</v>
      </c>
      <c r="I136" s="57">
        <f t="shared" si="37"/>
        <v>0</v>
      </c>
      <c r="J136" s="57">
        <f t="shared" si="37"/>
        <v>0</v>
      </c>
      <c r="K136" s="57">
        <f t="shared" si="37"/>
        <v>0</v>
      </c>
      <c r="L136" s="57">
        <f t="shared" si="37"/>
        <v>0</v>
      </c>
      <c r="M136" s="57">
        <f t="shared" si="37"/>
        <v>0</v>
      </c>
      <c r="N136" s="57">
        <f t="shared" si="37"/>
        <v>0</v>
      </c>
      <c r="O136" s="57">
        <f t="shared" si="37"/>
        <v>0</v>
      </c>
      <c r="P136" s="57">
        <f t="shared" si="37"/>
        <v>0</v>
      </c>
      <c r="Q136" s="57">
        <f t="shared" si="37"/>
        <v>0</v>
      </c>
      <c r="R136" s="57">
        <f t="shared" si="37"/>
        <v>0</v>
      </c>
      <c r="S136" s="57">
        <f t="shared" si="37"/>
        <v>0</v>
      </c>
      <c r="T136" s="57">
        <f t="shared" si="37"/>
        <v>0</v>
      </c>
      <c r="U136" s="57">
        <f t="shared" ref="U136:Y136" si="42">U99-U98</f>
        <v>0</v>
      </c>
      <c r="V136" s="57">
        <f t="shared" si="42"/>
        <v>0</v>
      </c>
      <c r="W136" s="57">
        <f t="shared" si="42"/>
        <v>0</v>
      </c>
      <c r="X136" s="57">
        <f t="shared" si="42"/>
        <v>0</v>
      </c>
      <c r="Y136" s="57">
        <f t="shared" si="42"/>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9" t="s">
        <v>185</v>
      </c>
      <c r="E137" s="57">
        <f t="shared" ref="E137:Y146" si="43">E100-E99</f>
        <v>0</v>
      </c>
      <c r="F137" s="57">
        <f t="shared" si="43"/>
        <v>0</v>
      </c>
      <c r="G137" s="57">
        <f t="shared" si="43"/>
        <v>0</v>
      </c>
      <c r="H137" s="57">
        <f t="shared" si="43"/>
        <v>0</v>
      </c>
      <c r="I137" s="57">
        <f t="shared" si="43"/>
        <v>0</v>
      </c>
      <c r="J137" s="57">
        <f t="shared" si="43"/>
        <v>0</v>
      </c>
      <c r="K137" s="57">
        <f t="shared" si="43"/>
        <v>0</v>
      </c>
      <c r="L137" s="57">
        <f t="shared" si="43"/>
        <v>0</v>
      </c>
      <c r="M137" s="57">
        <f t="shared" si="43"/>
        <v>0</v>
      </c>
      <c r="N137" s="57">
        <f t="shared" si="43"/>
        <v>0</v>
      </c>
      <c r="O137" s="57">
        <f t="shared" si="43"/>
        <v>0</v>
      </c>
      <c r="P137" s="57">
        <f t="shared" si="43"/>
        <v>0</v>
      </c>
      <c r="Q137" s="57">
        <f t="shared" si="43"/>
        <v>0</v>
      </c>
      <c r="R137" s="57">
        <f t="shared" si="43"/>
        <v>0</v>
      </c>
      <c r="S137" s="57">
        <f t="shared" si="43"/>
        <v>0</v>
      </c>
      <c r="T137" s="57">
        <f t="shared" si="43"/>
        <v>0</v>
      </c>
      <c r="U137" s="57">
        <f t="shared" si="43"/>
        <v>0</v>
      </c>
      <c r="V137" s="57">
        <f t="shared" si="43"/>
        <v>0</v>
      </c>
      <c r="W137" s="57">
        <f t="shared" si="43"/>
        <v>0</v>
      </c>
      <c r="X137" s="57">
        <f t="shared" si="43"/>
        <v>0</v>
      </c>
      <c r="Y137" s="57">
        <f t="shared" si="43"/>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9" t="s">
        <v>188</v>
      </c>
      <c r="E138" s="57">
        <f t="shared" si="43"/>
        <v>0</v>
      </c>
      <c r="F138" s="57">
        <f t="shared" si="43"/>
        <v>0</v>
      </c>
      <c r="G138" s="57">
        <f t="shared" si="43"/>
        <v>0</v>
      </c>
      <c r="H138" s="57">
        <f t="shared" si="43"/>
        <v>0</v>
      </c>
      <c r="I138" s="57">
        <f t="shared" si="43"/>
        <v>0</v>
      </c>
      <c r="J138" s="57">
        <f t="shared" si="43"/>
        <v>0</v>
      </c>
      <c r="K138" s="57">
        <f t="shared" si="43"/>
        <v>0</v>
      </c>
      <c r="L138" s="57">
        <f t="shared" si="43"/>
        <v>0</v>
      </c>
      <c r="M138" s="57">
        <f t="shared" si="43"/>
        <v>0</v>
      </c>
      <c r="N138" s="57">
        <f t="shared" si="43"/>
        <v>0</v>
      </c>
      <c r="O138" s="57">
        <f t="shared" si="43"/>
        <v>0</v>
      </c>
      <c r="P138" s="57">
        <f t="shared" si="43"/>
        <v>0</v>
      </c>
      <c r="Q138" s="57">
        <f t="shared" si="43"/>
        <v>0</v>
      </c>
      <c r="R138" s="57">
        <f t="shared" si="43"/>
        <v>0</v>
      </c>
      <c r="S138" s="57">
        <f t="shared" si="43"/>
        <v>0</v>
      </c>
      <c r="T138" s="57">
        <f t="shared" si="43"/>
        <v>0</v>
      </c>
      <c r="U138" s="57">
        <f t="shared" si="43"/>
        <v>0</v>
      </c>
      <c r="V138" s="57">
        <f t="shared" si="43"/>
        <v>0</v>
      </c>
      <c r="W138" s="57">
        <f t="shared" si="43"/>
        <v>0</v>
      </c>
      <c r="X138" s="57">
        <f t="shared" si="43"/>
        <v>0</v>
      </c>
      <c r="Y138" s="57">
        <f t="shared" si="43"/>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9" t="s">
        <v>191</v>
      </c>
      <c r="E139" s="57">
        <f t="shared" si="43"/>
        <v>0</v>
      </c>
      <c r="F139" s="57">
        <f t="shared" si="43"/>
        <v>0</v>
      </c>
      <c r="G139" s="57">
        <f t="shared" si="43"/>
        <v>0</v>
      </c>
      <c r="H139" s="57">
        <f t="shared" si="43"/>
        <v>0</v>
      </c>
      <c r="I139" s="57">
        <f t="shared" si="43"/>
        <v>0</v>
      </c>
      <c r="J139" s="57">
        <f t="shared" si="43"/>
        <v>0</v>
      </c>
      <c r="K139" s="57">
        <f t="shared" si="43"/>
        <v>0</v>
      </c>
      <c r="L139" s="57">
        <f t="shared" si="43"/>
        <v>0</v>
      </c>
      <c r="M139" s="57">
        <f t="shared" si="43"/>
        <v>0</v>
      </c>
      <c r="N139" s="57">
        <f t="shared" si="43"/>
        <v>0</v>
      </c>
      <c r="O139" s="57">
        <f t="shared" si="43"/>
        <v>0</v>
      </c>
      <c r="P139" s="57">
        <f t="shared" si="43"/>
        <v>0</v>
      </c>
      <c r="Q139" s="57">
        <f t="shared" si="43"/>
        <v>0</v>
      </c>
      <c r="R139" s="57">
        <f t="shared" si="43"/>
        <v>0</v>
      </c>
      <c r="S139" s="57">
        <f t="shared" si="43"/>
        <v>0</v>
      </c>
      <c r="T139" s="57">
        <f t="shared" si="43"/>
        <v>0</v>
      </c>
      <c r="U139" s="57">
        <f t="shared" si="43"/>
        <v>0</v>
      </c>
      <c r="V139" s="57">
        <f t="shared" si="43"/>
        <v>0</v>
      </c>
      <c r="W139" s="57">
        <f t="shared" si="43"/>
        <v>0</v>
      </c>
      <c r="X139" s="57">
        <f t="shared" si="43"/>
        <v>0</v>
      </c>
      <c r="Y139" s="57">
        <f t="shared" si="43"/>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9" t="s">
        <v>194</v>
      </c>
      <c r="E140" s="57">
        <f t="shared" si="43"/>
        <v>0</v>
      </c>
      <c r="F140" s="57">
        <f t="shared" si="43"/>
        <v>0</v>
      </c>
      <c r="G140" s="57">
        <f t="shared" si="43"/>
        <v>0</v>
      </c>
      <c r="H140" s="57">
        <f t="shared" si="43"/>
        <v>0</v>
      </c>
      <c r="I140" s="57">
        <f t="shared" si="43"/>
        <v>0</v>
      </c>
      <c r="J140" s="57">
        <f t="shared" si="43"/>
        <v>0</v>
      </c>
      <c r="K140" s="57">
        <f t="shared" si="43"/>
        <v>0</v>
      </c>
      <c r="L140" s="57">
        <f t="shared" si="43"/>
        <v>0</v>
      </c>
      <c r="M140" s="57">
        <f t="shared" si="43"/>
        <v>0</v>
      </c>
      <c r="N140" s="57">
        <f t="shared" si="43"/>
        <v>0</v>
      </c>
      <c r="O140" s="57">
        <f t="shared" si="43"/>
        <v>0</v>
      </c>
      <c r="P140" s="57">
        <f t="shared" si="43"/>
        <v>0</v>
      </c>
      <c r="Q140" s="57">
        <f t="shared" si="43"/>
        <v>0</v>
      </c>
      <c r="R140" s="57">
        <f t="shared" si="43"/>
        <v>0</v>
      </c>
      <c r="S140" s="57">
        <f t="shared" si="43"/>
        <v>0</v>
      </c>
      <c r="T140" s="57">
        <f t="shared" si="43"/>
        <v>0</v>
      </c>
      <c r="U140" s="57">
        <f t="shared" si="43"/>
        <v>0</v>
      </c>
      <c r="V140" s="57">
        <f t="shared" si="43"/>
        <v>0</v>
      </c>
      <c r="W140" s="57">
        <f t="shared" si="43"/>
        <v>0</v>
      </c>
      <c r="X140" s="57">
        <f t="shared" si="43"/>
        <v>0</v>
      </c>
      <c r="Y140" s="57">
        <f t="shared" si="43"/>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9" t="s">
        <v>197</v>
      </c>
      <c r="E141" s="57">
        <f t="shared" si="43"/>
        <v>0</v>
      </c>
      <c r="F141" s="57">
        <f t="shared" si="43"/>
        <v>0</v>
      </c>
      <c r="G141" s="57">
        <f t="shared" si="43"/>
        <v>0</v>
      </c>
      <c r="H141" s="57">
        <f t="shared" si="43"/>
        <v>0</v>
      </c>
      <c r="I141" s="57">
        <f t="shared" si="43"/>
        <v>0</v>
      </c>
      <c r="J141" s="57">
        <f t="shared" si="43"/>
        <v>0</v>
      </c>
      <c r="K141" s="57">
        <f t="shared" si="43"/>
        <v>0</v>
      </c>
      <c r="L141" s="57">
        <f t="shared" si="43"/>
        <v>0</v>
      </c>
      <c r="M141" s="57">
        <f t="shared" si="43"/>
        <v>0</v>
      </c>
      <c r="N141" s="57">
        <f t="shared" si="43"/>
        <v>0</v>
      </c>
      <c r="O141" s="57">
        <f t="shared" si="43"/>
        <v>0</v>
      </c>
      <c r="P141" s="57">
        <f t="shared" si="43"/>
        <v>0</v>
      </c>
      <c r="Q141" s="57">
        <f t="shared" si="43"/>
        <v>0</v>
      </c>
      <c r="R141" s="57">
        <f t="shared" si="43"/>
        <v>0</v>
      </c>
      <c r="S141" s="57">
        <f t="shared" si="43"/>
        <v>0</v>
      </c>
      <c r="T141" s="57">
        <f t="shared" si="43"/>
        <v>0</v>
      </c>
      <c r="U141" s="57">
        <f t="shared" si="43"/>
        <v>0</v>
      </c>
      <c r="V141" s="57">
        <f t="shared" si="43"/>
        <v>0</v>
      </c>
      <c r="W141" s="57">
        <f t="shared" si="43"/>
        <v>0</v>
      </c>
      <c r="X141" s="57">
        <f t="shared" si="43"/>
        <v>0</v>
      </c>
      <c r="Y141" s="57">
        <f t="shared" si="43"/>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9" t="s">
        <v>200</v>
      </c>
      <c r="E142" s="57">
        <f t="shared" si="43"/>
        <v>0</v>
      </c>
      <c r="F142" s="57">
        <f t="shared" si="43"/>
        <v>0</v>
      </c>
      <c r="G142" s="57">
        <f t="shared" si="43"/>
        <v>0</v>
      </c>
      <c r="H142" s="57">
        <f t="shared" si="43"/>
        <v>0</v>
      </c>
      <c r="I142" s="57">
        <f t="shared" si="43"/>
        <v>0</v>
      </c>
      <c r="J142" s="57">
        <f t="shared" si="43"/>
        <v>0</v>
      </c>
      <c r="K142" s="57">
        <f t="shared" si="43"/>
        <v>0</v>
      </c>
      <c r="L142" s="57">
        <f t="shared" si="43"/>
        <v>0</v>
      </c>
      <c r="M142" s="57">
        <f t="shared" si="43"/>
        <v>0</v>
      </c>
      <c r="N142" s="57">
        <f t="shared" si="43"/>
        <v>0</v>
      </c>
      <c r="O142" s="57">
        <f t="shared" si="43"/>
        <v>0</v>
      </c>
      <c r="P142" s="57">
        <f t="shared" si="43"/>
        <v>0</v>
      </c>
      <c r="Q142" s="57">
        <f t="shared" si="43"/>
        <v>0</v>
      </c>
      <c r="R142" s="57">
        <f t="shared" si="43"/>
        <v>0</v>
      </c>
      <c r="S142" s="57">
        <f t="shared" si="43"/>
        <v>0</v>
      </c>
      <c r="T142" s="57">
        <f t="shared" si="43"/>
        <v>0</v>
      </c>
      <c r="U142" s="57">
        <f t="shared" si="43"/>
        <v>0</v>
      </c>
      <c r="V142" s="57">
        <f t="shared" si="43"/>
        <v>0</v>
      </c>
      <c r="W142" s="57">
        <f t="shared" si="43"/>
        <v>0</v>
      </c>
      <c r="X142" s="57">
        <f t="shared" si="43"/>
        <v>0</v>
      </c>
      <c r="Y142" s="57">
        <f t="shared" si="43"/>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D143" s="9" t="s">
        <v>203</v>
      </c>
      <c r="E143" s="57">
        <f t="shared" si="43"/>
        <v>0</v>
      </c>
      <c r="F143" s="57">
        <f t="shared" si="43"/>
        <v>0</v>
      </c>
      <c r="G143" s="57">
        <f t="shared" si="43"/>
        <v>0</v>
      </c>
      <c r="H143" s="57">
        <f t="shared" si="43"/>
        <v>0</v>
      </c>
      <c r="I143" s="57">
        <f t="shared" si="43"/>
        <v>0</v>
      </c>
      <c r="J143" s="57">
        <f t="shared" si="43"/>
        <v>0</v>
      </c>
      <c r="K143" s="57">
        <f t="shared" si="43"/>
        <v>0</v>
      </c>
      <c r="L143" s="57">
        <f t="shared" si="43"/>
        <v>0</v>
      </c>
      <c r="M143" s="57">
        <f t="shared" si="43"/>
        <v>0</v>
      </c>
      <c r="N143" s="57">
        <f t="shared" si="43"/>
        <v>0</v>
      </c>
      <c r="O143" s="57">
        <f t="shared" si="43"/>
        <v>0</v>
      </c>
      <c r="P143" s="57">
        <f t="shared" si="43"/>
        <v>0</v>
      </c>
      <c r="Q143" s="57">
        <f t="shared" si="43"/>
        <v>0</v>
      </c>
      <c r="R143" s="57">
        <f t="shared" si="43"/>
        <v>0</v>
      </c>
      <c r="S143" s="57">
        <f t="shared" si="43"/>
        <v>0</v>
      </c>
      <c r="T143" s="57">
        <f t="shared" si="43"/>
        <v>0</v>
      </c>
      <c r="U143" s="57">
        <f t="shared" si="43"/>
        <v>0</v>
      </c>
      <c r="V143" s="57">
        <f t="shared" si="43"/>
        <v>0</v>
      </c>
      <c r="W143" s="57">
        <f t="shared" si="43"/>
        <v>0</v>
      </c>
      <c r="X143" s="57">
        <f t="shared" si="43"/>
        <v>0</v>
      </c>
      <c r="Y143" s="57">
        <f t="shared" si="43"/>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c r="D144" s="9" t="s">
        <v>206</v>
      </c>
      <c r="E144" s="57">
        <f t="shared" si="43"/>
        <v>0</v>
      </c>
      <c r="F144" s="57">
        <f t="shared" si="43"/>
        <v>0</v>
      </c>
      <c r="G144" s="57">
        <f t="shared" si="43"/>
        <v>0</v>
      </c>
      <c r="H144" s="57">
        <f t="shared" si="43"/>
        <v>0</v>
      </c>
      <c r="I144" s="57">
        <f t="shared" si="43"/>
        <v>0</v>
      </c>
      <c r="J144" s="57">
        <f t="shared" si="43"/>
        <v>0</v>
      </c>
      <c r="K144" s="57">
        <f t="shared" si="43"/>
        <v>0</v>
      </c>
      <c r="L144" s="57">
        <f t="shared" si="43"/>
        <v>0</v>
      </c>
      <c r="M144" s="57">
        <f t="shared" si="43"/>
        <v>0</v>
      </c>
      <c r="N144" s="57">
        <f t="shared" si="43"/>
        <v>0</v>
      </c>
      <c r="O144" s="57">
        <f t="shared" si="43"/>
        <v>0</v>
      </c>
      <c r="P144" s="57">
        <f t="shared" si="43"/>
        <v>0</v>
      </c>
      <c r="Q144" s="57">
        <f t="shared" si="43"/>
        <v>0</v>
      </c>
      <c r="R144" s="57">
        <f t="shared" si="43"/>
        <v>0</v>
      </c>
      <c r="S144" s="57">
        <f t="shared" si="43"/>
        <v>0</v>
      </c>
      <c r="T144" s="57">
        <f t="shared" si="43"/>
        <v>0</v>
      </c>
      <c r="U144" s="57">
        <f t="shared" si="43"/>
        <v>0</v>
      </c>
      <c r="V144" s="57">
        <f t="shared" si="43"/>
        <v>0</v>
      </c>
      <c r="W144" s="57">
        <f t="shared" si="43"/>
        <v>0</v>
      </c>
      <c r="X144" s="57">
        <f t="shared" si="43"/>
        <v>0</v>
      </c>
      <c r="Y144" s="57">
        <f t="shared" si="43"/>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9" t="s">
        <v>209</v>
      </c>
      <c r="E145" s="57">
        <f t="shared" si="43"/>
        <v>0</v>
      </c>
      <c r="F145" s="57">
        <f t="shared" si="43"/>
        <v>0</v>
      </c>
      <c r="G145" s="57">
        <f t="shared" si="43"/>
        <v>0</v>
      </c>
      <c r="H145" s="57">
        <f t="shared" si="43"/>
        <v>0</v>
      </c>
      <c r="I145" s="57">
        <f t="shared" si="43"/>
        <v>0</v>
      </c>
      <c r="J145" s="57">
        <f t="shared" si="43"/>
        <v>0</v>
      </c>
      <c r="K145" s="57">
        <f t="shared" si="43"/>
        <v>0</v>
      </c>
      <c r="L145" s="57">
        <f t="shared" si="43"/>
        <v>0</v>
      </c>
      <c r="M145" s="57">
        <f t="shared" si="43"/>
        <v>0</v>
      </c>
      <c r="N145" s="57">
        <f t="shared" si="43"/>
        <v>0</v>
      </c>
      <c r="O145" s="57">
        <f t="shared" si="43"/>
        <v>0</v>
      </c>
      <c r="P145" s="57">
        <f t="shared" si="43"/>
        <v>0</v>
      </c>
      <c r="Q145" s="57">
        <f t="shared" si="43"/>
        <v>0</v>
      </c>
      <c r="R145" s="57">
        <f t="shared" si="43"/>
        <v>0</v>
      </c>
      <c r="S145" s="57">
        <f t="shared" si="43"/>
        <v>0</v>
      </c>
      <c r="T145" s="57">
        <f t="shared" si="43"/>
        <v>0</v>
      </c>
      <c r="U145" s="57">
        <f t="shared" si="43"/>
        <v>0</v>
      </c>
      <c r="V145" s="57">
        <f t="shared" si="43"/>
        <v>0</v>
      </c>
      <c r="W145" s="57">
        <f t="shared" si="43"/>
        <v>0</v>
      </c>
      <c r="X145" s="57">
        <f t="shared" si="43"/>
        <v>0</v>
      </c>
      <c r="Y145" s="57">
        <f t="shared" si="43"/>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9" t="s">
        <v>212</v>
      </c>
      <c r="E146" s="57">
        <f t="shared" ca="1" si="43"/>
        <v>0.91165252934148144</v>
      </c>
      <c r="F146" s="57">
        <f t="shared" ca="1" si="43"/>
        <v>1.8002696156567146</v>
      </c>
      <c r="G146" s="57">
        <f t="shared" ca="1" si="43"/>
        <v>2.6383234729364924</v>
      </c>
      <c r="H146" s="57">
        <f t="shared" ca="1" si="43"/>
        <v>3.3998235596812272</v>
      </c>
      <c r="I146" s="57">
        <f t="shared" ca="1" si="43"/>
        <v>4.0618456323437044</v>
      </c>
      <c r="J146" s="57">
        <f t="shared" ca="1" si="43"/>
        <v>4.3502716770501362</v>
      </c>
      <c r="K146" s="57">
        <f t="shared" ca="1" si="43"/>
        <v>4.0788035316891298</v>
      </c>
      <c r="L146" s="57">
        <f t="shared" ca="1" si="43"/>
        <v>3.8217670847009089</v>
      </c>
      <c r="M146" s="57">
        <f t="shared" ca="1" si="43"/>
        <v>3.5796133285205967</v>
      </c>
      <c r="N146" s="57">
        <f t="shared" ca="1" si="43"/>
        <v>3.3527236291861557</v>
      </c>
      <c r="O146" s="57">
        <f t="shared" ca="1" si="43"/>
        <v>3.1411677407086103</v>
      </c>
      <c r="P146" s="57">
        <f t="shared" ca="1" si="43"/>
        <v>2.9445917691639072</v>
      </c>
      <c r="Q146" s="57">
        <f t="shared" ca="1" si="43"/>
        <v>2.7622407605962462</v>
      </c>
      <c r="R146" s="57">
        <f t="shared" ca="1" si="43"/>
        <v>2.5717997794127543</v>
      </c>
      <c r="S146" s="57">
        <f t="shared" ca="1" si="43"/>
        <v>2.4159728478082374</v>
      </c>
      <c r="T146" s="57">
        <f t="shared" ca="1" si="43"/>
        <v>2.2714682994914264</v>
      </c>
      <c r="U146" s="57">
        <f t="shared" ca="1" si="43"/>
        <v>2.1365699691496198</v>
      </c>
      <c r="V146" s="57">
        <f t="shared" ca="1" si="43"/>
        <v>2.0105742833853797</v>
      </c>
      <c r="W146" s="57">
        <f t="shared" ca="1" si="43"/>
        <v>1.8929754774346192</v>
      </c>
      <c r="X146" s="57">
        <f t="shared" ca="1" si="43"/>
        <v>1.7824542152887983</v>
      </c>
      <c r="Y146" s="57">
        <f t="shared" ca="1" si="43"/>
        <v>82.937385841298237</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E147" s="57"/>
      <c r="F147" s="57"/>
      <c r="G147" s="57"/>
      <c r="H147" s="57"/>
      <c r="I147" s="57"/>
      <c r="J147" s="57"/>
      <c r="K147" s="57"/>
      <c r="L147" s="57"/>
      <c r="M147" s="57"/>
      <c r="N147" s="57"/>
      <c r="O147" s="57"/>
      <c r="P147" s="57"/>
      <c r="Q147" s="57"/>
      <c r="R147" s="57"/>
      <c r="S147" s="57"/>
      <c r="T147" s="57"/>
      <c r="U147" s="57"/>
      <c r="V147" s="57"/>
      <c r="W147" s="57"/>
      <c r="X147" s="57"/>
      <c r="Y147" s="5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ht="15">
      <c r="D148" s="71" t="s">
        <v>135</v>
      </c>
      <c r="E148" s="72">
        <f t="shared" ref="E148:X148" ca="1" si="44">SUM(E115:E146)</f>
        <v>0.91165252934148144</v>
      </c>
      <c r="F148" s="72">
        <f t="shared" ca="1" si="44"/>
        <v>1.8002696156567146</v>
      </c>
      <c r="G148" s="72">
        <f t="shared" ca="1" si="44"/>
        <v>2.6383234729364924</v>
      </c>
      <c r="H148" s="72">
        <f t="shared" ca="1" si="44"/>
        <v>3.3998235596812272</v>
      </c>
      <c r="I148" s="72">
        <f t="shared" ca="1" si="44"/>
        <v>4.0618456323437044</v>
      </c>
      <c r="J148" s="72">
        <f t="shared" ca="1" si="44"/>
        <v>4.3502716770501362</v>
      </c>
      <c r="K148" s="72">
        <f t="shared" ca="1" si="44"/>
        <v>4.0788035316891298</v>
      </c>
      <c r="L148" s="72">
        <f t="shared" ca="1" si="44"/>
        <v>3.8217670847009089</v>
      </c>
      <c r="M148" s="72">
        <f t="shared" ca="1" si="44"/>
        <v>3.5796133285205967</v>
      </c>
      <c r="N148" s="72">
        <f t="shared" ca="1" si="44"/>
        <v>3.3527236291861557</v>
      </c>
      <c r="O148" s="72">
        <f t="shared" ca="1" si="44"/>
        <v>3.1411677407086103</v>
      </c>
      <c r="P148" s="72">
        <f t="shared" ca="1" si="44"/>
        <v>2.9445917691639072</v>
      </c>
      <c r="Q148" s="72">
        <f t="shared" ca="1" si="44"/>
        <v>2.7622407605962462</v>
      </c>
      <c r="R148" s="72">
        <f t="shared" ca="1" si="44"/>
        <v>2.5717997794127543</v>
      </c>
      <c r="S148" s="72">
        <f t="shared" ca="1" si="44"/>
        <v>2.4159728478082374</v>
      </c>
      <c r="T148" s="72">
        <f t="shared" ca="1" si="44"/>
        <v>2.2714682994914264</v>
      </c>
      <c r="U148" s="72">
        <f t="shared" ca="1" si="44"/>
        <v>2.1365699691496198</v>
      </c>
      <c r="V148" s="72">
        <f t="shared" ca="1" si="44"/>
        <v>2.0105742833853797</v>
      </c>
      <c r="W148" s="72">
        <f t="shared" ca="1" si="44"/>
        <v>1.8929754774346192</v>
      </c>
      <c r="X148" s="72">
        <f t="shared" ca="1" si="44"/>
        <v>1.7824542152887983</v>
      </c>
      <c r="Y148" s="72"/>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ht="15">
      <c r="D149" s="71" t="s">
        <v>136</v>
      </c>
      <c r="E149" s="72">
        <f ca="1">E148</f>
        <v>0.91165252934148144</v>
      </c>
      <c r="F149" s="72">
        <f t="shared" ref="F149:X149" ca="1" si="45">E149+F148</f>
        <v>2.7119221449981961</v>
      </c>
      <c r="G149" s="72">
        <f t="shared" ca="1" si="45"/>
        <v>5.3502456179346884</v>
      </c>
      <c r="H149" s="72">
        <f t="shared" ca="1" si="45"/>
        <v>8.7500691776159165</v>
      </c>
      <c r="I149" s="72">
        <f t="shared" ca="1" si="45"/>
        <v>12.811914809959621</v>
      </c>
      <c r="J149" s="72">
        <f t="shared" ca="1" si="45"/>
        <v>17.162186487009755</v>
      </c>
      <c r="K149" s="72">
        <f t="shared" ca="1" si="45"/>
        <v>21.240990018698884</v>
      </c>
      <c r="L149" s="72">
        <f t="shared" ca="1" si="45"/>
        <v>25.062757103399793</v>
      </c>
      <c r="M149" s="72">
        <f t="shared" ca="1" si="45"/>
        <v>28.642370431920391</v>
      </c>
      <c r="N149" s="72">
        <f t="shared" ca="1" si="45"/>
        <v>31.995094061106546</v>
      </c>
      <c r="O149" s="72">
        <f t="shared" ca="1" si="45"/>
        <v>35.136261801815152</v>
      </c>
      <c r="P149" s="72">
        <f t="shared" ca="1" si="45"/>
        <v>38.080853570979059</v>
      </c>
      <c r="Q149" s="72">
        <f t="shared" ca="1" si="45"/>
        <v>40.843094331575308</v>
      </c>
      <c r="R149" s="72">
        <f t="shared" ca="1" si="45"/>
        <v>43.414894110988065</v>
      </c>
      <c r="S149" s="72">
        <f t="shared" ca="1" si="45"/>
        <v>45.8308669587963</v>
      </c>
      <c r="T149" s="72">
        <f t="shared" ca="1" si="45"/>
        <v>48.102335258287724</v>
      </c>
      <c r="U149" s="72">
        <f t="shared" ca="1" si="45"/>
        <v>50.238905227437343</v>
      </c>
      <c r="V149" s="72">
        <f t="shared" ca="1" si="45"/>
        <v>52.249479510822724</v>
      </c>
      <c r="W149" s="72">
        <f t="shared" ca="1" si="45"/>
        <v>54.142454988257342</v>
      </c>
      <c r="X149" s="72">
        <f t="shared" ca="1" si="45"/>
        <v>55.924909203546143</v>
      </c>
      <c r="Y149" s="72">
        <f ca="1">SUM(Y115:Y146)</f>
        <v>82.937385841298237</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ustomFormat="1"/>
    <row r="153" spans="4:79" customFormat="1"/>
    <row r="154" spans="4:79" customFormat="1"/>
    <row r="155" spans="4:79" customFormat="1"/>
    <row r="156" spans="4:79" customFormat="1"/>
    <row r="157" spans="4:79" customFormat="1"/>
    <row r="158" spans="4:79" customFormat="1"/>
    <row r="159" spans="4:79" customFormat="1"/>
  </sheetData>
  <mergeCells count="1">
    <mergeCell ref="B1:S6"/>
  </mergeCell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sheetPr codeName="Sheet4"/>
  <dimension ref="A1:EA9"/>
  <sheetViews>
    <sheetView workbookViewId="0">
      <selection sqref="A1:EA9"/>
    </sheetView>
  </sheetViews>
  <sheetFormatPr defaultRowHeight="12.75"/>
  <sheetData>
    <row r="1" spans="1:131" ht="13.5" thickBot="1">
      <c r="A1" s="34" t="s">
        <v>45</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2"/>
      <c r="B2" s="43"/>
      <c r="C2" s="44"/>
      <c r="D2" s="44"/>
      <c r="E2" s="44"/>
      <c r="F2" s="44"/>
      <c r="G2" s="44"/>
      <c r="H2" s="44"/>
      <c r="I2" s="44"/>
      <c r="J2" s="44"/>
      <c r="K2" s="44"/>
      <c r="L2" s="44"/>
      <c r="M2" s="44"/>
      <c r="N2" s="44"/>
      <c r="O2" s="45" t="s">
        <v>214</v>
      </c>
      <c r="P2" s="46"/>
      <c r="Q2" s="46"/>
      <c r="R2" s="46"/>
      <c r="S2" s="46"/>
      <c r="T2" s="46"/>
      <c r="U2" s="46"/>
      <c r="V2" s="46"/>
      <c r="W2" s="46"/>
      <c r="X2" s="46"/>
      <c r="Y2" s="46"/>
      <c r="Z2" s="40"/>
      <c r="AA2" s="44"/>
      <c r="AB2" s="45" t="s">
        <v>215</v>
      </c>
      <c r="AC2" s="46"/>
      <c r="AD2" s="46"/>
      <c r="AE2" s="46"/>
      <c r="AF2" s="46"/>
      <c r="AG2" s="46"/>
      <c r="AH2" s="46"/>
      <c r="AI2" s="46"/>
      <c r="AJ2" s="46"/>
      <c r="AK2" s="46"/>
      <c r="AL2" s="46"/>
      <c r="AM2" s="40"/>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7" t="s">
        <v>21</v>
      </c>
      <c r="B3" s="38" t="s">
        <v>22</v>
      </c>
      <c r="C3" s="39" t="s">
        <v>46</v>
      </c>
      <c r="D3" s="39" t="s">
        <v>25</v>
      </c>
      <c r="E3" s="39" t="s">
        <v>26</v>
      </c>
      <c r="F3" s="39" t="s">
        <v>27</v>
      </c>
      <c r="G3" s="39" t="s">
        <v>28</v>
      </c>
      <c r="H3" s="39" t="s">
        <v>29</v>
      </c>
      <c r="I3" s="39" t="s">
        <v>30</v>
      </c>
      <c r="J3" s="39" t="s">
        <v>31</v>
      </c>
      <c r="K3" s="39" t="s">
        <v>24</v>
      </c>
      <c r="L3" s="39" t="s">
        <v>23</v>
      </c>
      <c r="M3" s="39" t="s">
        <v>32</v>
      </c>
      <c r="N3" s="39" t="s">
        <v>216</v>
      </c>
      <c r="O3" s="39" t="s">
        <v>33</v>
      </c>
      <c r="P3" s="39" t="s">
        <v>34</v>
      </c>
      <c r="Q3" s="39" t="s">
        <v>35</v>
      </c>
      <c r="R3" s="39" t="s">
        <v>36</v>
      </c>
      <c r="S3" s="39" t="s">
        <v>37</v>
      </c>
      <c r="T3" s="39" t="s">
        <v>38</v>
      </c>
      <c r="U3" s="39" t="s">
        <v>39</v>
      </c>
      <c r="V3" s="39" t="s">
        <v>40</v>
      </c>
      <c r="W3" s="39" t="s">
        <v>41</v>
      </c>
      <c r="X3" s="39" t="s">
        <v>42</v>
      </c>
      <c r="Y3" s="39" t="s">
        <v>43</v>
      </c>
      <c r="Z3" s="39" t="s">
        <v>44</v>
      </c>
      <c r="AA3" s="39"/>
      <c r="AB3" s="39" t="s">
        <v>33</v>
      </c>
      <c r="AC3" s="39" t="s">
        <v>34</v>
      </c>
      <c r="AD3" s="39" t="s">
        <v>35</v>
      </c>
      <c r="AE3" s="39" t="s">
        <v>36</v>
      </c>
      <c r="AF3" s="39" t="s">
        <v>37</v>
      </c>
      <c r="AG3" s="39" t="s">
        <v>38</v>
      </c>
      <c r="AH3" s="39" t="s">
        <v>39</v>
      </c>
      <c r="AI3" s="39" t="s">
        <v>40</v>
      </c>
      <c r="AJ3" s="39" t="s">
        <v>41</v>
      </c>
      <c r="AK3" s="39" t="s">
        <v>42</v>
      </c>
      <c r="AL3" s="39" t="s">
        <v>43</v>
      </c>
      <c r="AM3" s="39" t="s">
        <v>44</v>
      </c>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365</v>
      </c>
      <c r="B4" s="9"/>
      <c r="C4" s="41">
        <v>1595.2631637933634</v>
      </c>
      <c r="D4" s="41">
        <v>8617.594254937163</v>
      </c>
      <c r="E4" s="41">
        <v>1723.5188509874326</v>
      </c>
      <c r="F4" s="41">
        <v>10341.113105924596</v>
      </c>
      <c r="G4" s="41">
        <v>11135.265908764828</v>
      </c>
      <c r="H4" s="41">
        <v>1026.6464619095768</v>
      </c>
      <c r="I4" s="41">
        <v>56785.709633318824</v>
      </c>
      <c r="J4" s="41">
        <v>332.44439134934646</v>
      </c>
      <c r="K4" s="41">
        <v>504.13031558045765</v>
      </c>
      <c r="L4" s="162">
        <v>9.2197749952381419E-2</v>
      </c>
      <c r="M4" s="41">
        <v>15.15510080898482</v>
      </c>
      <c r="N4" s="41">
        <v>0.26651693572016161</v>
      </c>
      <c r="O4" s="41">
        <v>109.24565530948516</v>
      </c>
      <c r="P4" s="41">
        <v>96.546894144249379</v>
      </c>
      <c r="Q4" s="41">
        <v>106.01202493334007</v>
      </c>
      <c r="R4" s="41">
        <v>88.15730824269032</v>
      </c>
      <c r="S4" s="41">
        <v>85.542975984469962</v>
      </c>
      <c r="T4" s="41">
        <v>76.818852968395973</v>
      </c>
      <c r="U4" s="41">
        <v>66.58353646656046</v>
      </c>
      <c r="V4" s="41">
        <v>72.044378267897784</v>
      </c>
      <c r="W4" s="41">
        <v>65.186844700961601</v>
      </c>
      <c r="X4" s="41">
        <v>86.104703291928899</v>
      </c>
      <c r="Y4" s="41">
        <v>84.906204256388918</v>
      </c>
      <c r="Z4" s="41">
        <v>104.15396195728947</v>
      </c>
      <c r="AA4" s="41"/>
      <c r="AB4" s="41">
        <v>63.707834818950175</v>
      </c>
      <c r="AC4" s="41">
        <v>54.16517593846735</v>
      </c>
      <c r="AD4" s="41">
        <v>50.685647711348501</v>
      </c>
      <c r="AE4" s="41">
        <v>47.166967620050109</v>
      </c>
      <c r="AF4" s="41">
        <v>45.404499629810751</v>
      </c>
      <c r="AG4" s="41">
        <v>35.62591496051315</v>
      </c>
      <c r="AH4" s="41">
        <v>37.679171795093758</v>
      </c>
      <c r="AI4" s="41">
        <v>32.931640664009805</v>
      </c>
      <c r="AJ4" s="41">
        <v>37.700669669117559</v>
      </c>
      <c r="AK4" s="41">
        <v>39.469193437900209</v>
      </c>
      <c r="AL4" s="41">
        <v>50.16516620378956</v>
      </c>
      <c r="AM4" s="36">
        <v>59.257940820654362</v>
      </c>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364</v>
      </c>
      <c r="B5" s="9"/>
      <c r="C5" s="41">
        <v>1504.9652488616637</v>
      </c>
      <c r="D5" s="41">
        <v>8617.594254937163</v>
      </c>
      <c r="E5" s="41">
        <v>1723.5188509874326</v>
      </c>
      <c r="F5" s="41">
        <v>10341.113105924596</v>
      </c>
      <c r="G5" s="41">
        <v>11135.265908764828</v>
      </c>
      <c r="H5" s="41">
        <v>968.53439802790217</v>
      </c>
      <c r="I5" s="41">
        <v>60192.85221131795</v>
      </c>
      <c r="J5" s="41">
        <v>352.9601835140769</v>
      </c>
      <c r="K5" s="41">
        <v>534.94726319905465</v>
      </c>
      <c r="L5" s="162">
        <v>8.6979009389039033E-2</v>
      </c>
      <c r="M5" s="41">
        <v>14.297264914136624</v>
      </c>
      <c r="N5" s="41">
        <v>0.25143107143411469</v>
      </c>
      <c r="O5" s="41">
        <v>103.06193897121241</v>
      </c>
      <c r="P5" s="41">
        <v>91.081975607782425</v>
      </c>
      <c r="Q5" s="41">
        <v>100.01134427673591</v>
      </c>
      <c r="R5" s="41">
        <v>83.167271927066338</v>
      </c>
      <c r="S5" s="41">
        <v>80.700920740065996</v>
      </c>
      <c r="T5" s="41">
        <v>72.470616007920739</v>
      </c>
      <c r="U5" s="41">
        <v>62.81465704392496</v>
      </c>
      <c r="V5" s="41">
        <v>67.966394592356409</v>
      </c>
      <c r="W5" s="41">
        <v>61.497023302793963</v>
      </c>
      <c r="X5" s="41">
        <v>81.230852162197081</v>
      </c>
      <c r="Y5" s="41">
        <v>80.100192694706521</v>
      </c>
      <c r="Z5" s="41">
        <v>98.258454676688189</v>
      </c>
      <c r="AA5" s="41"/>
      <c r="AB5" s="41">
        <v>60.101730961273745</v>
      </c>
      <c r="AC5" s="41">
        <v>51.099222583459763</v>
      </c>
      <c r="AD5" s="41">
        <v>47.81664878429104</v>
      </c>
      <c r="AE5" s="41">
        <v>44.497139264198211</v>
      </c>
      <c r="AF5" s="41">
        <v>42.834433613029013</v>
      </c>
      <c r="AG5" s="41">
        <v>33.609353736333162</v>
      </c>
      <c r="AH5" s="41">
        <v>35.546388485937513</v>
      </c>
      <c r="AI5" s="41">
        <v>31.067585532084724</v>
      </c>
      <c r="AJ5" s="41">
        <v>35.566669499167503</v>
      </c>
      <c r="AK5" s="41">
        <v>37.235088148962461</v>
      </c>
      <c r="AL5" s="41">
        <v>47.325628494141093</v>
      </c>
      <c r="AM5" s="36">
        <v>55.903717755334299</v>
      </c>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363</v>
      </c>
      <c r="B6" s="9"/>
      <c r="C6" s="41">
        <v>1294.2701140210308</v>
      </c>
      <c r="D6" s="41">
        <v>8617.594254937163</v>
      </c>
      <c r="E6" s="41">
        <v>1723.5188509874326</v>
      </c>
      <c r="F6" s="41">
        <v>10341.113105924596</v>
      </c>
      <c r="G6" s="41">
        <v>11135.265908764828</v>
      </c>
      <c r="H6" s="41">
        <v>832.93958230399608</v>
      </c>
      <c r="I6" s="41">
        <v>69991.688617811567</v>
      </c>
      <c r="J6" s="41">
        <v>411.96296563124736</v>
      </c>
      <c r="K6" s="41">
        <v>623.57584898587277</v>
      </c>
      <c r="L6" s="162">
        <v>7.4801948074573577E-2</v>
      </c>
      <c r="M6" s="41">
        <v>12.295647826157477</v>
      </c>
      <c r="N6" s="41">
        <v>0.21623072143333863</v>
      </c>
      <c r="O6" s="41">
        <v>88.633267515242679</v>
      </c>
      <c r="P6" s="41">
        <v>78.330499022692891</v>
      </c>
      <c r="Q6" s="41">
        <v>86.00975607799289</v>
      </c>
      <c r="R6" s="41">
        <v>71.523853857277047</v>
      </c>
      <c r="S6" s="41">
        <v>69.402791836456757</v>
      </c>
      <c r="T6" s="41">
        <v>62.324729766811828</v>
      </c>
      <c r="U6" s="41">
        <v>54.02060505777547</v>
      </c>
      <c r="V6" s="41">
        <v>58.451099349426507</v>
      </c>
      <c r="W6" s="41">
        <v>52.887440040402808</v>
      </c>
      <c r="X6" s="41">
        <v>69.858532859489486</v>
      </c>
      <c r="Y6" s="41">
        <v>68.886165717447611</v>
      </c>
      <c r="Z6" s="41">
        <v>84.502271021951842</v>
      </c>
      <c r="AA6" s="41"/>
      <c r="AB6" s="41">
        <v>51.687488626695419</v>
      </c>
      <c r="AC6" s="41">
        <v>43.9453314217754</v>
      </c>
      <c r="AD6" s="41">
        <v>41.122317954490292</v>
      </c>
      <c r="AE6" s="41">
        <v>38.267539767210465</v>
      </c>
      <c r="AF6" s="41">
        <v>36.837612907204949</v>
      </c>
      <c r="AG6" s="41">
        <v>28.904044213246522</v>
      </c>
      <c r="AH6" s="41">
        <v>30.569894097906257</v>
      </c>
      <c r="AI6" s="41">
        <v>26.718123557592861</v>
      </c>
      <c r="AJ6" s="41">
        <v>30.587335769284053</v>
      </c>
      <c r="AK6" s="41">
        <v>32.022175808107718</v>
      </c>
      <c r="AL6" s="41">
        <v>40.700040504961343</v>
      </c>
      <c r="AM6" s="36">
        <v>48.077197269587501</v>
      </c>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t="s">
        <v>362</v>
      </c>
      <c r="B7" s="9"/>
      <c r="C7" s="41">
        <v>1203.9721990893308</v>
      </c>
      <c r="D7" s="41">
        <v>8617.594254937163</v>
      </c>
      <c r="E7" s="41">
        <v>1723.5188509874326</v>
      </c>
      <c r="F7" s="41">
        <v>10341.113105924596</v>
      </c>
      <c r="G7" s="41">
        <v>11135.265908764828</v>
      </c>
      <c r="H7" s="41">
        <v>774.82751842232221</v>
      </c>
      <c r="I7" s="41">
        <v>75241.065264147444</v>
      </c>
      <c r="J7" s="41">
        <v>443.57159890830297</v>
      </c>
      <c r="K7" s="41">
        <v>671.05544851452532</v>
      </c>
      <c r="L7" s="162">
        <v>6.958320751123126E-2</v>
      </c>
      <c r="M7" s="41">
        <v>11.437811931309296</v>
      </c>
      <c r="N7" s="41">
        <v>0.20114485714729177</v>
      </c>
      <c r="O7" s="41">
        <v>82.449551176969933</v>
      </c>
      <c r="P7" s="41">
        <v>72.865580486225937</v>
      </c>
      <c r="Q7" s="41">
        <v>80.009075421388729</v>
      </c>
      <c r="R7" s="41">
        <v>66.533817541653065</v>
      </c>
      <c r="S7" s="41">
        <v>64.560736592052805</v>
      </c>
      <c r="T7" s="41">
        <v>57.976492806336587</v>
      </c>
      <c r="U7" s="41">
        <v>50.251725635139969</v>
      </c>
      <c r="V7" s="41">
        <v>54.373115673885124</v>
      </c>
      <c r="W7" s="41">
        <v>49.19761864223517</v>
      </c>
      <c r="X7" s="41">
        <v>64.984681729757654</v>
      </c>
      <c r="Y7" s="41">
        <v>64.080154155765229</v>
      </c>
      <c r="Z7" s="41">
        <v>78.606763741350548</v>
      </c>
      <c r="AA7" s="41"/>
      <c r="AB7" s="41">
        <v>48.081384769018996</v>
      </c>
      <c r="AC7" s="41">
        <v>40.879378066767813</v>
      </c>
      <c r="AD7" s="41">
        <v>38.253319027432831</v>
      </c>
      <c r="AE7" s="41">
        <v>35.597711411358574</v>
      </c>
      <c r="AF7" s="41">
        <v>34.267546890423212</v>
      </c>
      <c r="AG7" s="41">
        <v>26.88748298906653</v>
      </c>
      <c r="AH7" s="41">
        <v>28.437110788750008</v>
      </c>
      <c r="AI7" s="41">
        <v>24.85406842566778</v>
      </c>
      <c r="AJ7" s="41">
        <v>28.453335599334004</v>
      </c>
      <c r="AK7" s="41">
        <v>29.78807051916997</v>
      </c>
      <c r="AL7" s="41">
        <v>37.860502795312875</v>
      </c>
      <c r="AM7" s="36">
        <v>44.722974204267445</v>
      </c>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c r="A8" s="9" t="s">
        <v>361</v>
      </c>
      <c r="B8" s="9"/>
      <c r="C8" s="41">
        <v>1143.7735891348643</v>
      </c>
      <c r="D8" s="41">
        <v>8617.594254937163</v>
      </c>
      <c r="E8" s="41">
        <v>1723.5188509874326</v>
      </c>
      <c r="F8" s="41">
        <v>10341.113105924596</v>
      </c>
      <c r="G8" s="41">
        <v>11135.265908764828</v>
      </c>
      <c r="H8" s="41">
        <v>736.08614250120604</v>
      </c>
      <c r="I8" s="41">
        <v>79201.121330681519</v>
      </c>
      <c r="J8" s="41">
        <v>467.41670822257299</v>
      </c>
      <c r="K8" s="41">
        <v>706.87339201859641</v>
      </c>
      <c r="L8" s="162">
        <v>6.6104047135669697E-2</v>
      </c>
      <c r="M8" s="41">
        <v>10.86592133474382</v>
      </c>
      <c r="N8" s="41">
        <v>0.19108761428992718</v>
      </c>
      <c r="O8" s="41">
        <v>78.327073618121432</v>
      </c>
      <c r="P8" s="41">
        <v>69.22230146191464</v>
      </c>
      <c r="Q8" s="41">
        <v>76.008621650319299</v>
      </c>
      <c r="R8" s="41">
        <v>63.207126664570417</v>
      </c>
      <c r="S8" s="41">
        <v>61.332699762450162</v>
      </c>
      <c r="T8" s="41">
        <v>55.077668166019755</v>
      </c>
      <c r="U8" s="41">
        <v>47.739139353382974</v>
      </c>
      <c r="V8" s="41">
        <v>51.654459890190864</v>
      </c>
      <c r="W8" s="41">
        <v>46.737737710123412</v>
      </c>
      <c r="X8" s="41">
        <v>61.735447643269779</v>
      </c>
      <c r="Y8" s="41">
        <v>60.876146447976964</v>
      </c>
      <c r="Z8" s="41">
        <v>74.676425554283014</v>
      </c>
      <c r="AA8" s="41"/>
      <c r="AB8" s="41">
        <v>45.677315530568045</v>
      </c>
      <c r="AC8" s="41">
        <v>38.835409163429418</v>
      </c>
      <c r="AD8" s="41">
        <v>36.340653076061187</v>
      </c>
      <c r="AE8" s="41">
        <v>33.81782584079064</v>
      </c>
      <c r="AF8" s="41">
        <v>32.554169545902049</v>
      </c>
      <c r="AG8" s="41">
        <v>25.543108839613204</v>
      </c>
      <c r="AH8" s="41">
        <v>27.015255249312506</v>
      </c>
      <c r="AI8" s="41">
        <v>23.611365004384389</v>
      </c>
      <c r="AJ8" s="41">
        <v>27.030668819367303</v>
      </c>
      <c r="AK8" s="41">
        <v>28.298666993211469</v>
      </c>
      <c r="AL8" s="41">
        <v>35.967477655547228</v>
      </c>
      <c r="AM8" s="36">
        <v>42.486825494054067</v>
      </c>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row>
    <row r="9" spans="1:131">
      <c r="A9" s="9"/>
      <c r="B9" s="9"/>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5"/>
  <dimension ref="A1:EA96"/>
  <sheetViews>
    <sheetView workbookViewId="0">
      <selection activeCell="A15" sqref="A15:EA96"/>
    </sheetView>
  </sheetViews>
  <sheetFormatPr defaultRowHeight="12.75"/>
  <cols>
    <col min="1" max="1" width="71.42578125" bestFit="1" customWidth="1"/>
    <col min="2" max="2" width="18.7109375" customWidth="1"/>
    <col min="3" max="3" width="18"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195" t="s">
        <v>4</v>
      </c>
      <c r="J6" s="196"/>
      <c r="K6" s="196"/>
      <c r="L6" s="196"/>
      <c r="M6" s="196"/>
      <c r="N6" s="197"/>
      <c r="O6" s="198" t="s">
        <v>5</v>
      </c>
      <c r="P6" s="199"/>
      <c r="Q6" s="91" t="s">
        <v>166</v>
      </c>
      <c r="R6" s="200" t="s">
        <v>167</v>
      </c>
      <c r="S6" s="200"/>
      <c r="T6" s="200"/>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92" t="s">
        <v>168</v>
      </c>
      <c r="R7" s="93" t="s">
        <v>169</v>
      </c>
      <c r="S7" s="93" t="s">
        <v>170</v>
      </c>
      <c r="T7" s="93" t="s">
        <v>171</v>
      </c>
    </row>
    <row r="8" spans="1:131" ht="15">
      <c r="A8" t="str">
        <f>Raw!B8</f>
        <v>SHW Solar Zone 1</v>
      </c>
      <c r="B8" t="str">
        <f>Raw!C8</f>
        <v>SHW Solar Zone 1</v>
      </c>
      <c r="C8">
        <f>Raw!D8</f>
        <v>1064</v>
      </c>
      <c r="D8">
        <f>Raw!E8</f>
        <v>20</v>
      </c>
      <c r="E8">
        <f>Raw!F8</f>
        <v>8617.594254937163</v>
      </c>
      <c r="F8">
        <f>Raw!G8</f>
        <v>0</v>
      </c>
      <c r="G8" s="157" t="s">
        <v>513</v>
      </c>
      <c r="H8">
        <f>Raw!I8</f>
        <v>0</v>
      </c>
      <c r="I8">
        <f>Raw!J8</f>
        <v>50</v>
      </c>
      <c r="J8">
        <f>Raw!K8</f>
        <v>4.0999999999999996</v>
      </c>
      <c r="K8">
        <f>Raw!L8</f>
        <v>800</v>
      </c>
      <c r="L8">
        <f>Raw!M8</f>
        <v>10.1</v>
      </c>
      <c r="M8">
        <f>Raw!N8</f>
        <v>0</v>
      </c>
      <c r="N8">
        <f>Raw!O8</f>
        <v>0</v>
      </c>
      <c r="O8">
        <f>Raw!P8</f>
        <v>0</v>
      </c>
      <c r="Q8" t="s">
        <v>172</v>
      </c>
    </row>
    <row r="9" spans="1:131" ht="15">
      <c r="A9" t="str">
        <f>Raw!B9</f>
        <v>SHW Solar Zone 2</v>
      </c>
      <c r="B9" t="str">
        <f>Raw!C9</f>
        <v>SHW Solar Zone 2</v>
      </c>
      <c r="C9">
        <f>Raw!D9</f>
        <v>1120</v>
      </c>
      <c r="D9">
        <f>Raw!E9</f>
        <v>20</v>
      </c>
      <c r="E9">
        <f>Raw!F9</f>
        <v>8617.594254937163</v>
      </c>
      <c r="F9">
        <f>Raw!G9</f>
        <v>0</v>
      </c>
      <c r="G9" s="157" t="s">
        <v>513</v>
      </c>
      <c r="H9">
        <f>Raw!I9</f>
        <v>0</v>
      </c>
      <c r="I9">
        <f>Raw!J9</f>
        <v>50</v>
      </c>
      <c r="J9">
        <f>Raw!K9</f>
        <v>4.0999999999999996</v>
      </c>
      <c r="K9">
        <f>Raw!L9</f>
        <v>800</v>
      </c>
      <c r="L9">
        <f>Raw!M9</f>
        <v>10.1</v>
      </c>
      <c r="M9">
        <f>Raw!N9</f>
        <v>0</v>
      </c>
      <c r="N9">
        <f>Raw!O9</f>
        <v>0</v>
      </c>
      <c r="O9">
        <f>Raw!P9</f>
        <v>0</v>
      </c>
      <c r="Q9" t="s">
        <v>172</v>
      </c>
    </row>
    <row r="10" spans="1:131" ht="15">
      <c r="A10" t="str">
        <f>Raw!B10</f>
        <v>SHW Solar Zone 3</v>
      </c>
      <c r="B10" t="str">
        <f>Raw!C10</f>
        <v>SHW Solar Zone 3</v>
      </c>
      <c r="C10">
        <f>Raw!D10</f>
        <v>1204</v>
      </c>
      <c r="D10">
        <f>Raw!E10</f>
        <v>20</v>
      </c>
      <c r="E10">
        <f>Raw!F10</f>
        <v>8617.594254937163</v>
      </c>
      <c r="F10">
        <f>Raw!G10</f>
        <v>0</v>
      </c>
      <c r="G10" s="157" t="s">
        <v>513</v>
      </c>
      <c r="H10">
        <f>Raw!I10</f>
        <v>0</v>
      </c>
      <c r="I10">
        <f>Raw!J10</f>
        <v>50</v>
      </c>
      <c r="J10">
        <f>Raw!K10</f>
        <v>4.0999999999999996</v>
      </c>
      <c r="K10">
        <f>Raw!L10</f>
        <v>800</v>
      </c>
      <c r="L10">
        <f>Raw!M10</f>
        <v>10.1</v>
      </c>
      <c r="M10">
        <f>Raw!N10</f>
        <v>0</v>
      </c>
      <c r="N10">
        <f>Raw!O10</f>
        <v>0</v>
      </c>
      <c r="O10">
        <f>Raw!P10</f>
        <v>0</v>
      </c>
      <c r="Q10" t="s">
        <v>172</v>
      </c>
    </row>
    <row r="11" spans="1:131" ht="15">
      <c r="A11" t="str">
        <f>Raw!B11</f>
        <v>SHW Solar Zone 4</v>
      </c>
      <c r="B11" t="str">
        <f>Raw!C11</f>
        <v>SHW Solar Zone 4</v>
      </c>
      <c r="C11">
        <f>Raw!D11</f>
        <v>1400</v>
      </c>
      <c r="D11">
        <f>Raw!E11</f>
        <v>20</v>
      </c>
      <c r="E11">
        <f>Raw!F11</f>
        <v>8617.594254937163</v>
      </c>
      <c r="F11">
        <f>Raw!G11</f>
        <v>0</v>
      </c>
      <c r="G11" s="157" t="s">
        <v>513</v>
      </c>
      <c r="H11">
        <f>Raw!I11</f>
        <v>0</v>
      </c>
      <c r="I11">
        <f>Raw!J11</f>
        <v>50</v>
      </c>
      <c r="J11">
        <f>Raw!K11</f>
        <v>4.0999999999999996</v>
      </c>
      <c r="K11">
        <f>Raw!L11</f>
        <v>800</v>
      </c>
      <c r="L11">
        <f>Raw!M11</f>
        <v>10.1</v>
      </c>
      <c r="M11">
        <f>Raw!N11</f>
        <v>0</v>
      </c>
      <c r="N11">
        <f>Raw!O11</f>
        <v>0</v>
      </c>
      <c r="O11">
        <f>Raw!P11</f>
        <v>0</v>
      </c>
      <c r="Q11" t="s">
        <v>172</v>
      </c>
    </row>
    <row r="12" spans="1:131" ht="15">
      <c r="A12" t="str">
        <f>Raw!B12</f>
        <v>SHW Solar Zone 5</v>
      </c>
      <c r="B12" t="str">
        <f>Raw!C12</f>
        <v>SHW Solar Zone 5</v>
      </c>
      <c r="C12">
        <f>Raw!D12</f>
        <v>1484</v>
      </c>
      <c r="D12">
        <f>Raw!E12</f>
        <v>20</v>
      </c>
      <c r="E12">
        <f>Raw!F12</f>
        <v>8617.594254937163</v>
      </c>
      <c r="F12">
        <f>Raw!G12</f>
        <v>0</v>
      </c>
      <c r="G12" s="157" t="s">
        <v>513</v>
      </c>
      <c r="H12">
        <f>Raw!I12</f>
        <v>0</v>
      </c>
      <c r="I12">
        <f>Raw!J12</f>
        <v>50</v>
      </c>
      <c r="J12">
        <f>Raw!K12</f>
        <v>4.0999999999999996</v>
      </c>
      <c r="K12">
        <f>Raw!L12</f>
        <v>800</v>
      </c>
      <c r="L12">
        <f>Raw!M12</f>
        <v>10.1</v>
      </c>
      <c r="M12">
        <f>Raw!N12</f>
        <v>0</v>
      </c>
      <c r="N12">
        <f>Raw!O12</f>
        <v>0</v>
      </c>
      <c r="O12">
        <f>Raw!P12</f>
        <v>0</v>
      </c>
      <c r="Q12" t="s">
        <v>172</v>
      </c>
    </row>
    <row r="15" spans="1:13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s="163" t="s">
        <v>537</v>
      </c>
      <c r="B16" s="16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row>
    <row r="17" spans="1:131">
      <c r="A17" s="9" t="s">
        <v>538</v>
      </c>
      <c r="B17" s="9" t="s">
        <v>539</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row>
    <row r="18" spans="1:131">
      <c r="A18" s="9" t="s">
        <v>540</v>
      </c>
      <c r="B18" s="9" t="s">
        <v>728</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row>
    <row r="19" spans="1:13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row>
    <row r="20" spans="1:131" ht="13.5" thickBot="1">
      <c r="A20" s="34" t="s">
        <v>541</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35"/>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row>
    <row r="21" spans="1:131">
      <c r="A21" s="9"/>
      <c r="B21" s="166" t="s">
        <v>542</v>
      </c>
      <c r="C21" s="167"/>
      <c r="D21" s="167" t="s">
        <v>542</v>
      </c>
      <c r="E21" s="168"/>
      <c r="F21" s="9"/>
      <c r="G21" s="166" t="s">
        <v>543</v>
      </c>
      <c r="H21" s="167"/>
      <c r="I21" s="167"/>
      <c r="J21" s="167"/>
      <c r="K21" s="167"/>
      <c r="L21" s="167"/>
      <c r="M21" s="167"/>
      <c r="N21" s="167"/>
      <c r="O21" s="168"/>
      <c r="P21" s="9"/>
      <c r="Q21" s="166" t="s">
        <v>544</v>
      </c>
      <c r="R21" s="167"/>
      <c r="S21" s="167"/>
      <c r="T21" s="167"/>
      <c r="U21" s="168"/>
      <c r="V21" s="9"/>
      <c r="W21" s="166" t="s">
        <v>545</v>
      </c>
      <c r="X21" s="168"/>
      <c r="Y21" s="9"/>
      <c r="Z21" s="166" t="s">
        <v>546</v>
      </c>
      <c r="AA21" s="167"/>
      <c r="AB21" s="168"/>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row>
    <row r="22" spans="1:131">
      <c r="A22" s="9"/>
      <c r="B22" s="169" t="s">
        <v>547</v>
      </c>
      <c r="C22" s="170" t="s">
        <v>548</v>
      </c>
      <c r="D22" s="170" t="s">
        <v>547</v>
      </c>
      <c r="E22" s="171" t="s">
        <v>548</v>
      </c>
      <c r="F22" s="9"/>
      <c r="G22" s="169" t="s">
        <v>549</v>
      </c>
      <c r="H22" s="170" t="s">
        <v>550</v>
      </c>
      <c r="I22" s="170"/>
      <c r="J22" s="170"/>
      <c r="K22" s="170" t="s">
        <v>551</v>
      </c>
      <c r="L22" s="170"/>
      <c r="M22" s="170"/>
      <c r="N22" s="170"/>
      <c r="O22" s="171"/>
      <c r="P22" s="9"/>
      <c r="Q22" s="169"/>
      <c r="R22" s="170" t="s">
        <v>552</v>
      </c>
      <c r="S22" s="170" t="s">
        <v>553</v>
      </c>
      <c r="T22" s="170" t="s">
        <v>554</v>
      </c>
      <c r="U22" s="171" t="s">
        <v>555</v>
      </c>
      <c r="V22" s="9"/>
      <c r="W22" s="169" t="s">
        <v>556</v>
      </c>
      <c r="X22" s="171">
        <v>20</v>
      </c>
      <c r="Y22" s="9"/>
      <c r="Z22" s="169"/>
      <c r="AA22" s="170" t="s">
        <v>548</v>
      </c>
      <c r="AB22" s="171" t="s">
        <v>557</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c r="A23" s="9"/>
      <c r="B23" s="169" t="s">
        <v>558</v>
      </c>
      <c r="C23" s="170" t="s">
        <v>559</v>
      </c>
      <c r="D23" s="170" t="s">
        <v>558</v>
      </c>
      <c r="E23" s="171" t="s">
        <v>559</v>
      </c>
      <c r="F23" s="9"/>
      <c r="G23" s="169" t="s">
        <v>560</v>
      </c>
      <c r="H23" s="170" t="s">
        <v>561</v>
      </c>
      <c r="I23" s="170"/>
      <c r="J23" s="170"/>
      <c r="K23" s="170" t="s">
        <v>562</v>
      </c>
      <c r="L23" s="170"/>
      <c r="M23" s="170"/>
      <c r="N23" s="170"/>
      <c r="O23" s="171"/>
      <c r="P23" s="9"/>
      <c r="Q23" s="169" t="s">
        <v>563</v>
      </c>
      <c r="R23" s="170">
        <v>4.3096045197740109E-2</v>
      </c>
      <c r="S23" s="170">
        <v>4.387844424080023E-2</v>
      </c>
      <c r="T23" s="170">
        <v>5.3289007766645871E-2</v>
      </c>
      <c r="U23" s="171">
        <v>5.447903102274565E-2</v>
      </c>
      <c r="V23" s="9"/>
      <c r="W23" s="169" t="s">
        <v>564</v>
      </c>
      <c r="X23" s="171">
        <v>2016</v>
      </c>
      <c r="Y23" s="9"/>
      <c r="Z23" s="169" t="s">
        <v>565</v>
      </c>
      <c r="AA23" s="170">
        <v>4.03890184699085E-3</v>
      </c>
      <c r="AB23" s="171">
        <v>0.01</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c r="B24" s="169" t="s">
        <v>566</v>
      </c>
      <c r="C24" s="170" t="s">
        <v>567</v>
      </c>
      <c r="D24" s="170" t="s">
        <v>566</v>
      </c>
      <c r="E24" s="171" t="s">
        <v>567</v>
      </c>
      <c r="F24" s="9"/>
      <c r="G24" s="169" t="s">
        <v>568</v>
      </c>
      <c r="H24" s="170" t="s">
        <v>569</v>
      </c>
      <c r="I24" s="170"/>
      <c r="J24" s="170"/>
      <c r="K24" s="170" t="s">
        <v>570</v>
      </c>
      <c r="L24" s="170"/>
      <c r="M24" s="170"/>
      <c r="N24" s="170"/>
      <c r="O24" s="171"/>
      <c r="P24" s="9"/>
      <c r="Q24" s="169" t="s">
        <v>571</v>
      </c>
      <c r="R24" s="170">
        <v>12</v>
      </c>
      <c r="S24" s="170">
        <v>12</v>
      </c>
      <c r="T24" s="170">
        <v>1</v>
      </c>
      <c r="U24" s="171">
        <v>1</v>
      </c>
      <c r="V24" s="9"/>
      <c r="W24" s="169" t="s">
        <v>572</v>
      </c>
      <c r="X24" s="171">
        <v>2016</v>
      </c>
      <c r="Y24" s="9"/>
      <c r="Z24" s="169" t="s">
        <v>573</v>
      </c>
      <c r="AA24" s="170">
        <v>26</v>
      </c>
      <c r="AB24" s="171">
        <v>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ht="13.5" thickBot="1">
      <c r="A25" s="9"/>
      <c r="B25" s="172" t="s">
        <v>574</v>
      </c>
      <c r="C25" s="173" t="s">
        <v>567</v>
      </c>
      <c r="D25" s="173" t="s">
        <v>574</v>
      </c>
      <c r="E25" s="174" t="s">
        <v>567</v>
      </c>
      <c r="F25" s="9"/>
      <c r="G25" s="169" t="s">
        <v>575</v>
      </c>
      <c r="H25" s="170" t="s">
        <v>576</v>
      </c>
      <c r="I25" s="170"/>
      <c r="J25" s="170"/>
      <c r="K25" s="170" t="s">
        <v>562</v>
      </c>
      <c r="L25" s="170"/>
      <c r="M25" s="170"/>
      <c r="N25" s="170"/>
      <c r="O25" s="171"/>
      <c r="P25" s="9"/>
      <c r="Q25" s="169"/>
      <c r="R25" s="170" t="s">
        <v>552</v>
      </c>
      <c r="S25" s="170" t="s">
        <v>553</v>
      </c>
      <c r="T25" s="170" t="s">
        <v>554</v>
      </c>
      <c r="U25" s="171" t="s">
        <v>555</v>
      </c>
      <c r="V25" s="9"/>
      <c r="W25" s="169" t="s">
        <v>577</v>
      </c>
      <c r="X25" s="171">
        <v>2012</v>
      </c>
      <c r="Y25" s="9"/>
      <c r="Z25" s="169" t="s">
        <v>578</v>
      </c>
      <c r="AA25" s="170">
        <v>0.9</v>
      </c>
      <c r="AB25" s="171" t="s">
        <v>579</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c r="C26" s="9"/>
      <c r="D26" s="9"/>
      <c r="E26" s="9"/>
      <c r="F26" s="9"/>
      <c r="G26" s="169" t="s">
        <v>580</v>
      </c>
      <c r="H26" s="170" t="s">
        <v>569</v>
      </c>
      <c r="I26" s="170"/>
      <c r="J26" s="170"/>
      <c r="K26" s="170"/>
      <c r="L26" s="170"/>
      <c r="M26" s="170"/>
      <c r="N26" s="170"/>
      <c r="O26" s="171"/>
      <c r="P26" s="9"/>
      <c r="Q26" s="169" t="s">
        <v>581</v>
      </c>
      <c r="R26" s="170">
        <v>0.35</v>
      </c>
      <c r="S26" s="170">
        <v>0.19500000000000001</v>
      </c>
      <c r="T26" s="170">
        <v>0.45499999999999996</v>
      </c>
      <c r="U26" s="171">
        <v>0</v>
      </c>
      <c r="V26" s="9"/>
      <c r="W26" s="169" t="s">
        <v>582</v>
      </c>
      <c r="X26" s="171">
        <v>0.04</v>
      </c>
      <c r="Y26" s="9"/>
      <c r="Z26" s="169" t="s">
        <v>583</v>
      </c>
      <c r="AA26" s="170">
        <v>4.7399348199455904E-2</v>
      </c>
      <c r="AB26" s="171">
        <v>0</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c r="A27" s="9"/>
      <c r="B27" s="9" t="s">
        <v>584</v>
      </c>
      <c r="C27" s="9" t="s">
        <v>548</v>
      </c>
      <c r="D27" s="9"/>
      <c r="E27" s="9"/>
      <c r="F27" s="9"/>
      <c r="G27" s="169" t="s">
        <v>585</v>
      </c>
      <c r="H27" s="170" t="s">
        <v>586</v>
      </c>
      <c r="I27" s="170"/>
      <c r="J27" s="170"/>
      <c r="K27" s="170" t="s">
        <v>587</v>
      </c>
      <c r="L27" s="170"/>
      <c r="M27" s="170"/>
      <c r="N27" s="170"/>
      <c r="O27" s="171"/>
      <c r="P27" s="9"/>
      <c r="Q27" s="169" t="s">
        <v>588</v>
      </c>
      <c r="R27" s="170">
        <v>1</v>
      </c>
      <c r="S27" s="170">
        <v>0</v>
      </c>
      <c r="T27" s="170">
        <v>0</v>
      </c>
      <c r="U27" s="171">
        <v>0</v>
      </c>
      <c r="V27" s="9"/>
      <c r="W27" s="169" t="s">
        <v>589</v>
      </c>
      <c r="X27" s="171">
        <v>0</v>
      </c>
      <c r="Y27" s="9"/>
      <c r="Z27" s="169" t="s">
        <v>590</v>
      </c>
      <c r="AA27" s="170">
        <v>31</v>
      </c>
      <c r="AB27" s="171">
        <v>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c r="A28" s="9"/>
      <c r="B28" s="9" t="s">
        <v>591</v>
      </c>
      <c r="C28" s="9" t="s">
        <v>592</v>
      </c>
      <c r="D28" s="9"/>
      <c r="E28" s="9"/>
      <c r="F28" s="9"/>
      <c r="G28" s="169" t="s">
        <v>593</v>
      </c>
      <c r="H28" s="170" t="s">
        <v>587</v>
      </c>
      <c r="I28" s="170"/>
      <c r="J28" s="170"/>
      <c r="K28" s="170" t="s">
        <v>594</v>
      </c>
      <c r="L28" s="170"/>
      <c r="M28" s="170"/>
      <c r="N28" s="170"/>
      <c r="O28" s="171"/>
      <c r="P28" s="9"/>
      <c r="Q28" s="169" t="s">
        <v>595</v>
      </c>
      <c r="R28" s="170">
        <v>1</v>
      </c>
      <c r="S28" s="170">
        <v>0</v>
      </c>
      <c r="T28" s="170">
        <v>0</v>
      </c>
      <c r="U28" s="171">
        <v>0</v>
      </c>
      <c r="V28" s="9"/>
      <c r="W28" s="169" t="s">
        <v>596</v>
      </c>
      <c r="X28" s="171">
        <v>0.2</v>
      </c>
      <c r="Y28" s="9"/>
      <c r="Z28" s="169" t="s">
        <v>597</v>
      </c>
      <c r="AA28" s="170">
        <v>0.7</v>
      </c>
      <c r="AB28" s="171" t="s">
        <v>579</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9" t="s">
        <v>598</v>
      </c>
      <c r="C29" s="9" t="s">
        <v>599</v>
      </c>
      <c r="D29" s="9"/>
      <c r="E29" s="9"/>
      <c r="F29" s="9"/>
      <c r="G29" s="169" t="s">
        <v>600</v>
      </c>
      <c r="H29" s="170" t="s">
        <v>594</v>
      </c>
      <c r="I29" s="170"/>
      <c r="J29" s="170"/>
      <c r="K29" s="170" t="s">
        <v>601</v>
      </c>
      <c r="L29" s="170"/>
      <c r="M29" s="170"/>
      <c r="N29" s="170"/>
      <c r="O29" s="171"/>
      <c r="P29" s="9"/>
      <c r="Q29" s="169" t="s">
        <v>602</v>
      </c>
      <c r="R29" s="170"/>
      <c r="S29" s="170">
        <v>0.3</v>
      </c>
      <c r="T29" s="170">
        <v>0.7</v>
      </c>
      <c r="U29" s="171">
        <v>0</v>
      </c>
      <c r="V29" s="9"/>
      <c r="W29" s="169" t="s">
        <v>603</v>
      </c>
      <c r="X29" s="171">
        <v>0</v>
      </c>
      <c r="Y29" s="9"/>
      <c r="Z29" s="169" t="s">
        <v>604</v>
      </c>
      <c r="AA29" s="170">
        <v>0</v>
      </c>
      <c r="AB29" s="171">
        <v>0</v>
      </c>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ht="13.5" thickBot="1">
      <c r="A30" s="9"/>
      <c r="B30" s="9" t="s">
        <v>605</v>
      </c>
      <c r="C30" s="9" t="s">
        <v>606</v>
      </c>
      <c r="D30" s="9"/>
      <c r="E30" s="9"/>
      <c r="F30" s="9"/>
      <c r="G30" s="172" t="s">
        <v>607</v>
      </c>
      <c r="H30" s="173" t="s">
        <v>601</v>
      </c>
      <c r="I30" s="173"/>
      <c r="J30" s="173"/>
      <c r="K30" s="173"/>
      <c r="L30" s="173"/>
      <c r="M30" s="173"/>
      <c r="N30" s="173"/>
      <c r="O30" s="174"/>
      <c r="P30" s="9"/>
      <c r="Q30" s="172" t="s">
        <v>608</v>
      </c>
      <c r="R30" s="173"/>
      <c r="S30" s="173">
        <v>20</v>
      </c>
      <c r="T30" s="173"/>
      <c r="U30" s="174"/>
      <c r="V30" s="9"/>
      <c r="W30" s="172" t="s">
        <v>609</v>
      </c>
      <c r="X30" s="174">
        <v>2018</v>
      </c>
      <c r="Y30" s="9"/>
      <c r="Z30" s="172" t="s">
        <v>610</v>
      </c>
      <c r="AA30" s="173">
        <v>0</v>
      </c>
      <c r="AB30" s="174">
        <v>0</v>
      </c>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13.5" thickBot="1">
      <c r="A38" s="34" t="s">
        <v>611</v>
      </c>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ht="26.25" thickBot="1">
      <c r="A39" s="175" t="s">
        <v>612</v>
      </c>
      <c r="B39" s="176"/>
      <c r="C39" s="177" t="s">
        <v>613</v>
      </c>
      <c r="D39" s="178"/>
      <c r="E39" s="178"/>
      <c r="F39" s="178"/>
      <c r="G39" s="178"/>
      <c r="H39" s="178"/>
      <c r="I39" s="178"/>
      <c r="J39" s="178"/>
      <c r="K39" s="179"/>
      <c r="L39" s="177" t="s">
        <v>614</v>
      </c>
      <c r="M39" s="178"/>
      <c r="N39" s="178"/>
      <c r="O39" s="178"/>
      <c r="P39" s="178"/>
      <c r="Q39" s="179"/>
      <c r="R39" s="177" t="s">
        <v>615</v>
      </c>
      <c r="S39" s="178"/>
      <c r="T39" s="178"/>
      <c r="U39" s="179"/>
      <c r="V39" s="177" t="s">
        <v>616</v>
      </c>
      <c r="W39" s="178"/>
      <c r="X39" s="178"/>
      <c r="Y39" s="179"/>
      <c r="Z39" s="177" t="s">
        <v>617</v>
      </c>
      <c r="AA39" s="178"/>
      <c r="AB39" s="178"/>
      <c r="AC39" s="179"/>
      <c r="AD39" s="177" t="s">
        <v>618</v>
      </c>
      <c r="AE39" s="178"/>
      <c r="AF39" s="178"/>
      <c r="AG39" s="179"/>
      <c r="AH39" s="177" t="s">
        <v>619</v>
      </c>
      <c r="AI39" s="178"/>
      <c r="AJ39" s="178"/>
      <c r="AK39" s="178"/>
      <c r="AL39" s="179"/>
      <c r="AM39" s="177" t="s">
        <v>620</v>
      </c>
      <c r="AN39" s="178"/>
      <c r="AO39" s="178"/>
      <c r="AP39" s="178"/>
      <c r="AQ39" s="178"/>
      <c r="AR39" s="178"/>
      <c r="AS39" s="179"/>
      <c r="AT39" s="177" t="s">
        <v>621</v>
      </c>
      <c r="AU39" s="178"/>
      <c r="AV39" s="178"/>
      <c r="AW39" s="178"/>
      <c r="AX39" s="178"/>
      <c r="AY39" s="178"/>
      <c r="AZ39" s="179"/>
      <c r="BA39" s="177" t="s">
        <v>622</v>
      </c>
      <c r="BB39" s="178"/>
      <c r="BC39" s="178"/>
      <c r="BD39" s="178"/>
      <c r="BE39" s="178"/>
      <c r="BF39" s="179"/>
      <c r="BG39" s="177" t="s">
        <v>623</v>
      </c>
      <c r="BH39" s="179"/>
      <c r="BI39" s="177" t="s">
        <v>624</v>
      </c>
      <c r="BJ39" s="178"/>
      <c r="BK39" s="178"/>
      <c r="BL39" s="178"/>
      <c r="BM39" s="179"/>
      <c r="BN39" s="177" t="s">
        <v>625</v>
      </c>
      <c r="BO39" s="178"/>
      <c r="BP39" s="178"/>
      <c r="BQ39" s="178"/>
      <c r="BR39" s="178"/>
      <c r="BS39" s="178"/>
      <c r="BT39" s="178"/>
      <c r="BU39" s="178"/>
      <c r="BV39" s="178"/>
      <c r="BW39" s="178"/>
      <c r="BX39" s="178"/>
      <c r="BY39" s="178"/>
      <c r="BZ39" s="178"/>
      <c r="CA39" s="178"/>
      <c r="CB39" s="178"/>
      <c r="CC39" s="179"/>
      <c r="CD39" s="177" t="s">
        <v>626</v>
      </c>
      <c r="CE39" s="179"/>
      <c r="CF39" s="177" t="s">
        <v>627</v>
      </c>
      <c r="CG39" s="178"/>
      <c r="CH39" s="178"/>
      <c r="CI39" s="178"/>
      <c r="CJ39" s="178"/>
      <c r="CK39" s="179"/>
      <c r="CL39" s="180"/>
      <c r="CM39" s="177" t="s">
        <v>5</v>
      </c>
      <c r="CN39" s="178"/>
      <c r="CO39" s="178"/>
      <c r="CP39" s="179"/>
      <c r="CQ39" s="177" t="s">
        <v>628</v>
      </c>
      <c r="CR39" s="178"/>
      <c r="CS39" s="178"/>
      <c r="CT39" s="178"/>
      <c r="CU39" s="179"/>
      <c r="CV39" s="177" t="s">
        <v>629</v>
      </c>
      <c r="CW39" s="17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ht="204">
      <c r="A40" s="37" t="s">
        <v>21</v>
      </c>
      <c r="B40" s="38" t="s">
        <v>22</v>
      </c>
      <c r="C40" s="39" t="s">
        <v>149</v>
      </c>
      <c r="D40" s="39" t="s">
        <v>630</v>
      </c>
      <c r="E40" s="39" t="s">
        <v>631</v>
      </c>
      <c r="F40" s="39" t="s">
        <v>632</v>
      </c>
      <c r="G40" s="39" t="s">
        <v>633</v>
      </c>
      <c r="H40" s="39" t="s">
        <v>634</v>
      </c>
      <c r="I40" s="39" t="s">
        <v>635</v>
      </c>
      <c r="J40" s="39" t="s">
        <v>636</v>
      </c>
      <c r="K40" s="39" t="s">
        <v>637</v>
      </c>
      <c r="L40" s="39" t="s">
        <v>638</v>
      </c>
      <c r="M40" s="39" t="s">
        <v>639</v>
      </c>
      <c r="N40" s="39" t="s">
        <v>640</v>
      </c>
      <c r="O40" s="39" t="s">
        <v>641</v>
      </c>
      <c r="P40" s="39" t="s">
        <v>642</v>
      </c>
      <c r="Q40" s="39" t="s">
        <v>643</v>
      </c>
      <c r="R40" s="39" t="s">
        <v>644</v>
      </c>
      <c r="S40" s="39" t="s">
        <v>645</v>
      </c>
      <c r="T40" s="39" t="s">
        <v>646</v>
      </c>
      <c r="U40" s="39" t="s">
        <v>552</v>
      </c>
      <c r="V40" s="39" t="s">
        <v>644</v>
      </c>
      <c r="W40" s="39" t="s">
        <v>645</v>
      </c>
      <c r="X40" s="39" t="s">
        <v>646</v>
      </c>
      <c r="Y40" s="39" t="s">
        <v>552</v>
      </c>
      <c r="Z40" s="39" t="s">
        <v>644</v>
      </c>
      <c r="AA40" s="39" t="s">
        <v>645</v>
      </c>
      <c r="AB40" s="39" t="s">
        <v>646</v>
      </c>
      <c r="AC40" s="39" t="s">
        <v>552</v>
      </c>
      <c r="AD40" s="39" t="s">
        <v>644</v>
      </c>
      <c r="AE40" s="39" t="s">
        <v>645</v>
      </c>
      <c r="AF40" s="39" t="s">
        <v>646</v>
      </c>
      <c r="AG40" s="39" t="s">
        <v>552</v>
      </c>
      <c r="AH40" s="39" t="s">
        <v>644</v>
      </c>
      <c r="AI40" s="39" t="s">
        <v>645</v>
      </c>
      <c r="AJ40" s="39" t="s">
        <v>646</v>
      </c>
      <c r="AK40" s="39" t="s">
        <v>552</v>
      </c>
      <c r="AL40" s="39" t="s">
        <v>175</v>
      </c>
      <c r="AM40" s="39" t="s">
        <v>647</v>
      </c>
      <c r="AN40" s="39" t="s">
        <v>648</v>
      </c>
      <c r="AO40" s="39" t="s">
        <v>649</v>
      </c>
      <c r="AP40" s="39" t="s">
        <v>650</v>
      </c>
      <c r="AQ40" s="39" t="s">
        <v>651</v>
      </c>
      <c r="AR40" s="39" t="s">
        <v>652</v>
      </c>
      <c r="AS40" s="39" t="s">
        <v>653</v>
      </c>
      <c r="AT40" s="39" t="s">
        <v>654</v>
      </c>
      <c r="AU40" s="39" t="s">
        <v>655</v>
      </c>
      <c r="AV40" s="39" t="s">
        <v>656</v>
      </c>
      <c r="AW40" s="39" t="s">
        <v>657</v>
      </c>
      <c r="AX40" s="39" t="s">
        <v>658</v>
      </c>
      <c r="AY40" s="39" t="s">
        <v>659</v>
      </c>
      <c r="AZ40" s="39" t="s">
        <v>660</v>
      </c>
      <c r="BA40" s="39" t="s">
        <v>661</v>
      </c>
      <c r="BB40" s="39" t="s">
        <v>662</v>
      </c>
      <c r="BC40" s="39" t="s">
        <v>663</v>
      </c>
      <c r="BD40" s="39" t="s">
        <v>664</v>
      </c>
      <c r="BE40" s="39" t="s">
        <v>665</v>
      </c>
      <c r="BF40" s="39" t="s">
        <v>666</v>
      </c>
      <c r="BG40" s="39" t="s">
        <v>667</v>
      </c>
      <c r="BH40" s="39" t="s">
        <v>668</v>
      </c>
      <c r="BI40" s="39" t="s">
        <v>669</v>
      </c>
      <c r="BJ40" s="39" t="s">
        <v>670</v>
      </c>
      <c r="BK40" s="39" t="s">
        <v>671</v>
      </c>
      <c r="BL40" s="39" t="s">
        <v>672</v>
      </c>
      <c r="BM40" s="39" t="s">
        <v>673</v>
      </c>
      <c r="BN40" s="39" t="s">
        <v>674</v>
      </c>
      <c r="BO40" s="39" t="s">
        <v>675</v>
      </c>
      <c r="BP40" s="39" t="s">
        <v>676</v>
      </c>
      <c r="BQ40" s="39" t="s">
        <v>677</v>
      </c>
      <c r="BR40" s="39" t="s">
        <v>678</v>
      </c>
      <c r="BS40" s="39" t="s">
        <v>679</v>
      </c>
      <c r="BT40" s="39" t="s">
        <v>680</v>
      </c>
      <c r="BU40" s="39" t="s">
        <v>681</v>
      </c>
      <c r="BV40" s="39" t="s">
        <v>682</v>
      </c>
      <c r="BW40" s="39" t="s">
        <v>683</v>
      </c>
      <c r="BX40" s="39" t="s">
        <v>684</v>
      </c>
      <c r="BY40" s="39" t="s">
        <v>685</v>
      </c>
      <c r="BZ40" s="39" t="s">
        <v>686</v>
      </c>
      <c r="CA40" s="39" t="s">
        <v>687</v>
      </c>
      <c r="CB40" s="39" t="s">
        <v>688</v>
      </c>
      <c r="CC40" s="39" t="s">
        <v>689</v>
      </c>
      <c r="CD40" s="39" t="s">
        <v>23</v>
      </c>
      <c r="CE40" s="39" t="s">
        <v>24</v>
      </c>
      <c r="CF40" s="39" t="s">
        <v>690</v>
      </c>
      <c r="CG40" s="39" t="s">
        <v>691</v>
      </c>
      <c r="CH40" s="39" t="s">
        <v>692</v>
      </c>
      <c r="CI40" s="39" t="s">
        <v>693</v>
      </c>
      <c r="CJ40" s="39" t="s">
        <v>694</v>
      </c>
      <c r="CK40" s="39" t="s">
        <v>695</v>
      </c>
      <c r="CL40" s="39"/>
      <c r="CM40" s="39" t="s">
        <v>696</v>
      </c>
      <c r="CN40" s="39" t="s">
        <v>697</v>
      </c>
      <c r="CO40" s="39" t="s">
        <v>698</v>
      </c>
      <c r="CP40" s="39" t="s">
        <v>699</v>
      </c>
      <c r="CQ40" s="39" t="s">
        <v>700</v>
      </c>
      <c r="CR40" s="39" t="s">
        <v>701</v>
      </c>
      <c r="CS40" s="39" t="s">
        <v>702</v>
      </c>
      <c r="CT40" s="39" t="s">
        <v>703</v>
      </c>
      <c r="CU40" s="39" t="s">
        <v>704</v>
      </c>
      <c r="CV40" s="39" t="s">
        <v>705</v>
      </c>
      <c r="CW40" s="181" t="s">
        <v>706</v>
      </c>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t="s">
        <v>361</v>
      </c>
      <c r="B41" s="9" t="s">
        <v>361</v>
      </c>
      <c r="C41" s="36">
        <v>20</v>
      </c>
      <c r="D41" s="36">
        <v>1064</v>
      </c>
      <c r="E41" s="36">
        <v>0</v>
      </c>
      <c r="F41" s="36">
        <v>8617.594254937163</v>
      </c>
      <c r="G41" s="36">
        <v>0</v>
      </c>
      <c r="H41" s="36">
        <v>651.58780396684574</v>
      </c>
      <c r="I41" s="36" t="s">
        <v>513</v>
      </c>
      <c r="J41" s="36"/>
      <c r="K41" s="36"/>
      <c r="L41" s="36">
        <v>1143.7735891348643</v>
      </c>
      <c r="M41" s="36">
        <v>0.19108761428992718</v>
      </c>
      <c r="N41" s="36">
        <v>0.18970842958199596</v>
      </c>
      <c r="O41" s="36">
        <v>0</v>
      </c>
      <c r="P41" s="36">
        <v>0</v>
      </c>
      <c r="Q41" s="36">
        <v>0</v>
      </c>
      <c r="R41" s="36">
        <v>1718.4634125860443</v>
      </c>
      <c r="S41" s="36">
        <v>3971.1075696767621</v>
      </c>
      <c r="T41" s="36">
        <v>0</v>
      </c>
      <c r="U41" s="36">
        <v>3070.5882715477414</v>
      </c>
      <c r="V41" s="36" t="s">
        <v>707</v>
      </c>
      <c r="W41" s="36" t="s">
        <v>707</v>
      </c>
      <c r="X41" s="36" t="s">
        <v>707</v>
      </c>
      <c r="Y41" s="36" t="s">
        <v>707</v>
      </c>
      <c r="Z41" s="36">
        <v>0</v>
      </c>
      <c r="AA41" s="36">
        <v>0</v>
      </c>
      <c r="AB41" s="36">
        <v>0</v>
      </c>
      <c r="AC41" s="36">
        <v>0</v>
      </c>
      <c r="AD41" s="36">
        <v>0</v>
      </c>
      <c r="AE41" s="36">
        <v>0</v>
      </c>
      <c r="AF41" s="36">
        <v>0</v>
      </c>
      <c r="AG41" s="36">
        <v>651.58780396684574</v>
      </c>
      <c r="AH41" s="36">
        <v>1718.4634125860443</v>
      </c>
      <c r="AI41" s="36">
        <v>3971.1075696767621</v>
      </c>
      <c r="AJ41" s="36">
        <v>0</v>
      </c>
      <c r="AK41" s="36">
        <v>3722.176075514587</v>
      </c>
      <c r="AL41" s="36">
        <v>9411.7470577773947</v>
      </c>
      <c r="AM41" s="36">
        <v>588.64143997475912</v>
      </c>
      <c r="AN41" s="36">
        <v>67.520519005716935</v>
      </c>
      <c r="AO41" s="36">
        <v>0</v>
      </c>
      <c r="AP41" s="36">
        <v>0</v>
      </c>
      <c r="AQ41" s="36">
        <v>656.16195898047602</v>
      </c>
      <c r="AR41" s="36">
        <v>1718.4634125860443</v>
      </c>
      <c r="AS41" s="162">
        <v>0.38183062506582266</v>
      </c>
      <c r="AT41" s="36">
        <v>588.64143997475912</v>
      </c>
      <c r="AU41" s="36">
        <v>79.924183520730054</v>
      </c>
      <c r="AV41" s="36">
        <v>0</v>
      </c>
      <c r="AW41" s="36">
        <v>0</v>
      </c>
      <c r="AX41" s="36">
        <v>668.56562349548915</v>
      </c>
      <c r="AY41" s="36">
        <v>3971.1075696767621</v>
      </c>
      <c r="AZ41" s="162">
        <v>0.16835746999165491</v>
      </c>
      <c r="BA41" s="36">
        <v>588.64143997475912</v>
      </c>
      <c r="BB41" s="36">
        <v>147.44470252644697</v>
      </c>
      <c r="BC41" s="36">
        <v>0</v>
      </c>
      <c r="BD41" s="36">
        <v>0</v>
      </c>
      <c r="BE41" s="36">
        <v>736.08614250120604</v>
      </c>
      <c r="BF41" s="36">
        <v>5689.5709822628069</v>
      </c>
      <c r="BG41" s="36">
        <v>356.53852832337878</v>
      </c>
      <c r="BH41" s="162">
        <v>0.1293746303185159</v>
      </c>
      <c r="BI41" s="36">
        <v>110.5529511915318</v>
      </c>
      <c r="BJ41" s="36">
        <v>255.47105519467422</v>
      </c>
      <c r="BK41" s="36">
        <v>0</v>
      </c>
      <c r="BL41" s="36">
        <v>239.45668379602333</v>
      </c>
      <c r="BM41" s="36">
        <v>605.48069018222952</v>
      </c>
      <c r="BN41" s="36">
        <v>588.64143997475912</v>
      </c>
      <c r="BO41" s="36">
        <v>0</v>
      </c>
      <c r="BP41" s="36">
        <v>147.44470252644697</v>
      </c>
      <c r="BQ41" s="36">
        <v>0</v>
      </c>
      <c r="BR41" s="36">
        <v>0</v>
      </c>
      <c r="BS41" s="36">
        <v>0</v>
      </c>
      <c r="BT41" s="36">
        <v>0</v>
      </c>
      <c r="BU41" s="36">
        <v>0</v>
      </c>
      <c r="BV41" s="36">
        <v>0</v>
      </c>
      <c r="BW41" s="36">
        <v>0</v>
      </c>
      <c r="BX41" s="36">
        <v>8760.1592538105488</v>
      </c>
      <c r="BY41" s="36"/>
      <c r="BZ41" s="36">
        <v>0</v>
      </c>
      <c r="CA41" s="36">
        <v>651.58780396684574</v>
      </c>
      <c r="CB41" s="36">
        <v>736.08614250120604</v>
      </c>
      <c r="CC41" s="36">
        <v>9411.7470577773947</v>
      </c>
      <c r="CD41" s="162">
        <v>7.8209299291882417E-2</v>
      </c>
      <c r="CE41" s="36">
        <v>595.99521211940214</v>
      </c>
      <c r="CF41" s="36">
        <v>10.86592133474382</v>
      </c>
      <c r="CG41" s="36">
        <v>0</v>
      </c>
      <c r="CH41" s="36">
        <v>10.86592133474382</v>
      </c>
      <c r="CI41" s="36">
        <v>0.54329245483906052</v>
      </c>
      <c r="CJ41" s="36">
        <v>0</v>
      </c>
      <c r="CK41" s="36">
        <v>0.54329245483906052</v>
      </c>
      <c r="CL41" s="36"/>
      <c r="CM41" s="36">
        <v>0</v>
      </c>
      <c r="CN41" s="36"/>
      <c r="CO41" s="36">
        <v>0</v>
      </c>
      <c r="CP41" s="36">
        <v>0</v>
      </c>
      <c r="CQ41" s="36">
        <v>0</v>
      </c>
      <c r="CR41" s="36">
        <v>0</v>
      </c>
      <c r="CS41" s="36">
        <v>0</v>
      </c>
      <c r="CT41" s="36">
        <v>0</v>
      </c>
      <c r="CU41" s="36">
        <v>0</v>
      </c>
      <c r="CV41" s="36">
        <v>9999</v>
      </c>
      <c r="CW41" s="182">
        <v>9999</v>
      </c>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t="s">
        <v>362</v>
      </c>
      <c r="B42" s="9" t="s">
        <v>362</v>
      </c>
      <c r="C42" s="36">
        <v>20</v>
      </c>
      <c r="D42" s="36">
        <v>1120</v>
      </c>
      <c r="E42" s="36">
        <v>0</v>
      </c>
      <c r="F42" s="36">
        <v>8617.594254937163</v>
      </c>
      <c r="G42" s="36">
        <v>0</v>
      </c>
      <c r="H42" s="36">
        <v>651.58780396684574</v>
      </c>
      <c r="I42" s="36" t="s">
        <v>513</v>
      </c>
      <c r="J42" s="36"/>
      <c r="K42" s="36"/>
      <c r="L42" s="36">
        <v>1203.9721990893308</v>
      </c>
      <c r="M42" s="36">
        <v>0.20114485714729177</v>
      </c>
      <c r="N42" s="36">
        <v>0.19969308377052206</v>
      </c>
      <c r="O42" s="36">
        <v>0</v>
      </c>
      <c r="P42" s="36">
        <v>0</v>
      </c>
      <c r="Q42" s="36">
        <v>0</v>
      </c>
      <c r="R42" s="36">
        <v>1718.4634125860443</v>
      </c>
      <c r="S42" s="36">
        <v>3971.1075696767621</v>
      </c>
      <c r="T42" s="36">
        <v>0</v>
      </c>
      <c r="U42" s="36">
        <v>3070.5882715477414</v>
      </c>
      <c r="V42" s="36" t="s">
        <v>707</v>
      </c>
      <c r="W42" s="36" t="s">
        <v>707</v>
      </c>
      <c r="X42" s="36" t="s">
        <v>707</v>
      </c>
      <c r="Y42" s="36" t="s">
        <v>707</v>
      </c>
      <c r="Z42" s="36">
        <v>0</v>
      </c>
      <c r="AA42" s="36">
        <v>0</v>
      </c>
      <c r="AB42" s="36">
        <v>0</v>
      </c>
      <c r="AC42" s="36">
        <v>0</v>
      </c>
      <c r="AD42" s="36">
        <v>0</v>
      </c>
      <c r="AE42" s="36">
        <v>0</v>
      </c>
      <c r="AF42" s="36">
        <v>0</v>
      </c>
      <c r="AG42" s="36">
        <v>651.58780396684574</v>
      </c>
      <c r="AH42" s="36">
        <v>1718.4634125860443</v>
      </c>
      <c r="AI42" s="36">
        <v>3971.1075696767621</v>
      </c>
      <c r="AJ42" s="36">
        <v>0</v>
      </c>
      <c r="AK42" s="36">
        <v>3722.176075514587</v>
      </c>
      <c r="AL42" s="36">
        <v>9411.7470577773947</v>
      </c>
      <c r="AM42" s="36">
        <v>619.62256839448321</v>
      </c>
      <c r="AN42" s="36">
        <v>71.07423053233363</v>
      </c>
      <c r="AO42" s="36">
        <v>0</v>
      </c>
      <c r="AP42" s="36">
        <v>0</v>
      </c>
      <c r="AQ42" s="36">
        <v>690.69679892681688</v>
      </c>
      <c r="AR42" s="36">
        <v>1718.4634125860443</v>
      </c>
      <c r="AS42" s="162">
        <v>0.40192697375349756</v>
      </c>
      <c r="AT42" s="36">
        <v>619.62256839448321</v>
      </c>
      <c r="AU42" s="36">
        <v>84.130719495505303</v>
      </c>
      <c r="AV42" s="36">
        <v>0</v>
      </c>
      <c r="AW42" s="36">
        <v>0</v>
      </c>
      <c r="AX42" s="36">
        <v>703.75328788998854</v>
      </c>
      <c r="AY42" s="36">
        <v>3971.1075696767621</v>
      </c>
      <c r="AZ42" s="162">
        <v>0.1772183894648999</v>
      </c>
      <c r="BA42" s="36">
        <v>619.62256839448321</v>
      </c>
      <c r="BB42" s="36">
        <v>155.20495002783895</v>
      </c>
      <c r="BC42" s="36">
        <v>0</v>
      </c>
      <c r="BD42" s="36">
        <v>0</v>
      </c>
      <c r="BE42" s="36">
        <v>774.82751842232221</v>
      </c>
      <c r="BF42" s="36">
        <v>5689.5709822628069</v>
      </c>
      <c r="BG42" s="36">
        <v>338.2373280040685</v>
      </c>
      <c r="BH42" s="162">
        <v>0.13618382138791149</v>
      </c>
      <c r="BI42" s="36">
        <v>105.02530363195523</v>
      </c>
      <c r="BJ42" s="36">
        <v>242.69750243494053</v>
      </c>
      <c r="BK42" s="36">
        <v>0</v>
      </c>
      <c r="BL42" s="36">
        <v>227.48384960622215</v>
      </c>
      <c r="BM42" s="36">
        <v>575.20665567311801</v>
      </c>
      <c r="BN42" s="36">
        <v>619.62256839448321</v>
      </c>
      <c r="BO42" s="36">
        <v>0</v>
      </c>
      <c r="BP42" s="36">
        <v>155.20495002783895</v>
      </c>
      <c r="BQ42" s="36">
        <v>0</v>
      </c>
      <c r="BR42" s="36">
        <v>0</v>
      </c>
      <c r="BS42" s="36">
        <v>0</v>
      </c>
      <c r="BT42" s="36">
        <v>0</v>
      </c>
      <c r="BU42" s="36">
        <v>0</v>
      </c>
      <c r="BV42" s="36">
        <v>0</v>
      </c>
      <c r="BW42" s="36">
        <v>0</v>
      </c>
      <c r="BX42" s="36">
        <v>8760.1592538105488</v>
      </c>
      <c r="BY42" s="36"/>
      <c r="BZ42" s="36">
        <v>0</v>
      </c>
      <c r="CA42" s="36">
        <v>651.58780396684574</v>
      </c>
      <c r="CB42" s="36">
        <v>774.82751842232221</v>
      </c>
      <c r="CC42" s="36">
        <v>9411.7470577773947</v>
      </c>
      <c r="CD42" s="162">
        <v>8.2325578201981497E-2</v>
      </c>
      <c r="CE42" s="36">
        <v>565.72117761029062</v>
      </c>
      <c r="CF42" s="36">
        <v>11.437811931309296</v>
      </c>
      <c r="CG42" s="36">
        <v>0</v>
      </c>
      <c r="CH42" s="36">
        <v>11.437811931309296</v>
      </c>
      <c r="CI42" s="36">
        <v>0.57188679456743219</v>
      </c>
      <c r="CJ42" s="36">
        <v>0</v>
      </c>
      <c r="CK42" s="36">
        <v>0.57188679456743219</v>
      </c>
      <c r="CL42" s="36"/>
      <c r="CM42" s="36">
        <v>0</v>
      </c>
      <c r="CN42" s="36"/>
      <c r="CO42" s="36">
        <v>0</v>
      </c>
      <c r="CP42" s="36">
        <v>0</v>
      </c>
      <c r="CQ42" s="36">
        <v>0</v>
      </c>
      <c r="CR42" s="36">
        <v>0</v>
      </c>
      <c r="CS42" s="36">
        <v>0</v>
      </c>
      <c r="CT42" s="36">
        <v>0</v>
      </c>
      <c r="CU42" s="36">
        <v>0</v>
      </c>
      <c r="CV42" s="36">
        <v>9999</v>
      </c>
      <c r="CW42" s="182">
        <v>9999</v>
      </c>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t="s">
        <v>363</v>
      </c>
      <c r="B43" s="9" t="s">
        <v>363</v>
      </c>
      <c r="C43" s="36">
        <v>20</v>
      </c>
      <c r="D43" s="36">
        <v>1204</v>
      </c>
      <c r="E43" s="36">
        <v>0</v>
      </c>
      <c r="F43" s="36">
        <v>8617.594254937163</v>
      </c>
      <c r="G43" s="36">
        <v>0</v>
      </c>
      <c r="H43" s="36">
        <v>651.58780396684574</v>
      </c>
      <c r="I43" s="36" t="s">
        <v>513</v>
      </c>
      <c r="J43" s="36"/>
      <c r="K43" s="36"/>
      <c r="L43" s="36">
        <v>1294.2701140210308</v>
      </c>
      <c r="M43" s="36">
        <v>0.21623072143333863</v>
      </c>
      <c r="N43" s="36">
        <v>0.21467006505331121</v>
      </c>
      <c r="O43" s="36">
        <v>0</v>
      </c>
      <c r="P43" s="36">
        <v>0</v>
      </c>
      <c r="Q43" s="36">
        <v>0</v>
      </c>
      <c r="R43" s="36">
        <v>1718.4634125860443</v>
      </c>
      <c r="S43" s="36">
        <v>3971.1075696767621</v>
      </c>
      <c r="T43" s="36">
        <v>0</v>
      </c>
      <c r="U43" s="36">
        <v>3070.5882715477414</v>
      </c>
      <c r="V43" s="36" t="s">
        <v>707</v>
      </c>
      <c r="W43" s="36" t="s">
        <v>707</v>
      </c>
      <c r="X43" s="36" t="s">
        <v>707</v>
      </c>
      <c r="Y43" s="36" t="s">
        <v>707</v>
      </c>
      <c r="Z43" s="36">
        <v>0</v>
      </c>
      <c r="AA43" s="36">
        <v>0</v>
      </c>
      <c r="AB43" s="36">
        <v>0</v>
      </c>
      <c r="AC43" s="36">
        <v>0</v>
      </c>
      <c r="AD43" s="36">
        <v>0</v>
      </c>
      <c r="AE43" s="36">
        <v>0</v>
      </c>
      <c r="AF43" s="36">
        <v>0</v>
      </c>
      <c r="AG43" s="36">
        <v>651.58780396684574</v>
      </c>
      <c r="AH43" s="36">
        <v>1718.4634125860443</v>
      </c>
      <c r="AI43" s="36">
        <v>3971.1075696767621</v>
      </c>
      <c r="AJ43" s="36">
        <v>0</v>
      </c>
      <c r="AK43" s="36">
        <v>3722.176075514587</v>
      </c>
      <c r="AL43" s="36">
        <v>9411.7470577773947</v>
      </c>
      <c r="AM43" s="36">
        <v>666.09426102406928</v>
      </c>
      <c r="AN43" s="36">
        <v>76.404797822258629</v>
      </c>
      <c r="AO43" s="36">
        <v>0</v>
      </c>
      <c r="AP43" s="36">
        <v>0</v>
      </c>
      <c r="AQ43" s="36">
        <v>742.4990588463279</v>
      </c>
      <c r="AR43" s="36">
        <v>1718.4634125860443</v>
      </c>
      <c r="AS43" s="162">
        <v>0.43207149678500972</v>
      </c>
      <c r="AT43" s="36">
        <v>666.09426102406928</v>
      </c>
      <c r="AU43" s="36">
        <v>90.440523457668206</v>
      </c>
      <c r="AV43" s="36">
        <v>0</v>
      </c>
      <c r="AW43" s="36">
        <v>0</v>
      </c>
      <c r="AX43" s="36">
        <v>756.53478448173746</v>
      </c>
      <c r="AY43" s="36">
        <v>3971.1075696767621</v>
      </c>
      <c r="AZ43" s="162">
        <v>0.19050976867476735</v>
      </c>
      <c r="BA43" s="36">
        <v>666.09426102406928</v>
      </c>
      <c r="BB43" s="36">
        <v>166.84532127992685</v>
      </c>
      <c r="BC43" s="36">
        <v>0</v>
      </c>
      <c r="BD43" s="36">
        <v>0</v>
      </c>
      <c r="BE43" s="36">
        <v>832.93958230399608</v>
      </c>
      <c r="BF43" s="36">
        <v>5689.5709822628069</v>
      </c>
      <c r="BG43" s="36">
        <v>313.97759734823853</v>
      </c>
      <c r="BH43" s="162">
        <v>0.1463976079920048</v>
      </c>
      <c r="BI43" s="36">
        <v>97.697956866935073</v>
      </c>
      <c r="BJ43" s="36">
        <v>225.7651185441307</v>
      </c>
      <c r="BK43" s="36">
        <v>0</v>
      </c>
      <c r="BL43" s="36">
        <v>211.61288335462524</v>
      </c>
      <c r="BM43" s="36">
        <v>535.0759587656911</v>
      </c>
      <c r="BN43" s="36">
        <v>666.09426102406928</v>
      </c>
      <c r="BO43" s="36">
        <v>0</v>
      </c>
      <c r="BP43" s="36">
        <v>166.84532127992685</v>
      </c>
      <c r="BQ43" s="36">
        <v>0</v>
      </c>
      <c r="BR43" s="36">
        <v>0</v>
      </c>
      <c r="BS43" s="36">
        <v>0</v>
      </c>
      <c r="BT43" s="36">
        <v>0</v>
      </c>
      <c r="BU43" s="36">
        <v>0</v>
      </c>
      <c r="BV43" s="36">
        <v>0</v>
      </c>
      <c r="BW43" s="36">
        <v>0</v>
      </c>
      <c r="BX43" s="36">
        <v>8760.1592538105488</v>
      </c>
      <c r="BY43" s="36"/>
      <c r="BZ43" s="36">
        <v>0</v>
      </c>
      <c r="CA43" s="36">
        <v>651.58780396684574</v>
      </c>
      <c r="CB43" s="36">
        <v>832.93958230399608</v>
      </c>
      <c r="CC43" s="36">
        <v>9411.7470577773947</v>
      </c>
      <c r="CD43" s="162">
        <v>8.8499996567130076E-2</v>
      </c>
      <c r="CE43" s="36">
        <v>525.59048070286383</v>
      </c>
      <c r="CF43" s="36">
        <v>12.295647826157477</v>
      </c>
      <c r="CG43" s="36">
        <v>0</v>
      </c>
      <c r="CH43" s="36">
        <v>12.295647826157477</v>
      </c>
      <c r="CI43" s="36">
        <v>0.61477830415998946</v>
      </c>
      <c r="CJ43" s="36">
        <v>0</v>
      </c>
      <c r="CK43" s="36">
        <v>0.61477830415998946</v>
      </c>
      <c r="CL43" s="36"/>
      <c r="CM43" s="36">
        <v>0</v>
      </c>
      <c r="CN43" s="36"/>
      <c r="CO43" s="36">
        <v>0</v>
      </c>
      <c r="CP43" s="36">
        <v>0</v>
      </c>
      <c r="CQ43" s="36">
        <v>0</v>
      </c>
      <c r="CR43" s="36">
        <v>0</v>
      </c>
      <c r="CS43" s="36">
        <v>0</v>
      </c>
      <c r="CT43" s="36">
        <v>0</v>
      </c>
      <c r="CU43" s="36">
        <v>0</v>
      </c>
      <c r="CV43" s="36">
        <v>9999</v>
      </c>
      <c r="CW43" s="182">
        <v>9999</v>
      </c>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c r="A44" s="9" t="s">
        <v>364</v>
      </c>
      <c r="B44" s="9" t="s">
        <v>364</v>
      </c>
      <c r="C44" s="36">
        <v>20</v>
      </c>
      <c r="D44" s="36">
        <v>1400</v>
      </c>
      <c r="E44" s="36">
        <v>0</v>
      </c>
      <c r="F44" s="36">
        <v>8617.594254937163</v>
      </c>
      <c r="G44" s="36">
        <v>0</v>
      </c>
      <c r="H44" s="36">
        <v>651.58780396684574</v>
      </c>
      <c r="I44" s="36" t="s">
        <v>513</v>
      </c>
      <c r="J44" s="36"/>
      <c r="K44" s="36"/>
      <c r="L44" s="36">
        <v>1504.9652488616637</v>
      </c>
      <c r="M44" s="36">
        <v>0.25143107143411469</v>
      </c>
      <c r="N44" s="36">
        <v>0.24961635471315258</v>
      </c>
      <c r="O44" s="36">
        <v>0</v>
      </c>
      <c r="P44" s="36">
        <v>0</v>
      </c>
      <c r="Q44" s="36">
        <v>0</v>
      </c>
      <c r="R44" s="36">
        <v>1718.4634125860443</v>
      </c>
      <c r="S44" s="36">
        <v>3971.1075696767621</v>
      </c>
      <c r="T44" s="36">
        <v>0</v>
      </c>
      <c r="U44" s="36">
        <v>3070.5882715477414</v>
      </c>
      <c r="V44" s="36" t="s">
        <v>707</v>
      </c>
      <c r="W44" s="36" t="s">
        <v>707</v>
      </c>
      <c r="X44" s="36" t="s">
        <v>707</v>
      </c>
      <c r="Y44" s="36" t="s">
        <v>707</v>
      </c>
      <c r="Z44" s="36">
        <v>0</v>
      </c>
      <c r="AA44" s="36">
        <v>0</v>
      </c>
      <c r="AB44" s="36">
        <v>0</v>
      </c>
      <c r="AC44" s="36">
        <v>0</v>
      </c>
      <c r="AD44" s="36">
        <v>0</v>
      </c>
      <c r="AE44" s="36">
        <v>0</v>
      </c>
      <c r="AF44" s="36">
        <v>0</v>
      </c>
      <c r="AG44" s="36">
        <v>651.58780396684574</v>
      </c>
      <c r="AH44" s="36">
        <v>1718.4634125860443</v>
      </c>
      <c r="AI44" s="36">
        <v>3971.1075696767621</v>
      </c>
      <c r="AJ44" s="36">
        <v>0</v>
      </c>
      <c r="AK44" s="36">
        <v>3722.176075514587</v>
      </c>
      <c r="AL44" s="36">
        <v>9411.7470577773947</v>
      </c>
      <c r="AM44" s="36">
        <v>774.52821049310353</v>
      </c>
      <c r="AN44" s="36">
        <v>88.842788165417005</v>
      </c>
      <c r="AO44" s="36">
        <v>0</v>
      </c>
      <c r="AP44" s="36">
        <v>0</v>
      </c>
      <c r="AQ44" s="36">
        <v>863.37099865852053</v>
      </c>
      <c r="AR44" s="36">
        <v>1718.4634125860443</v>
      </c>
      <c r="AS44" s="162">
        <v>0.50240871719187163</v>
      </c>
      <c r="AT44" s="36">
        <v>774.52821049310353</v>
      </c>
      <c r="AU44" s="36">
        <v>105.16339936938165</v>
      </c>
      <c r="AV44" s="36">
        <v>0</v>
      </c>
      <c r="AW44" s="36">
        <v>0</v>
      </c>
      <c r="AX44" s="36">
        <v>879.69160986248517</v>
      </c>
      <c r="AY44" s="36">
        <v>3971.1075696767621</v>
      </c>
      <c r="AZ44" s="162">
        <v>0.22152298683112476</v>
      </c>
      <c r="BA44" s="36">
        <v>774.52821049310353</v>
      </c>
      <c r="BB44" s="36">
        <v>194.00618753479864</v>
      </c>
      <c r="BC44" s="36">
        <v>0</v>
      </c>
      <c r="BD44" s="36">
        <v>0</v>
      </c>
      <c r="BE44" s="36">
        <v>968.53439802790217</v>
      </c>
      <c r="BF44" s="36">
        <v>5689.5709822628069</v>
      </c>
      <c r="BG44" s="36">
        <v>268.69276679068935</v>
      </c>
      <c r="BH44" s="162">
        <v>0.17022977673488926</v>
      </c>
      <c r="BI44" s="36">
        <v>84.02024290556416</v>
      </c>
      <c r="BJ44" s="36">
        <v>194.15800194795239</v>
      </c>
      <c r="BK44" s="36">
        <v>0</v>
      </c>
      <c r="BL44" s="36">
        <v>181.98707968497769</v>
      </c>
      <c r="BM44" s="36">
        <v>460.16532453849436</v>
      </c>
      <c r="BN44" s="36">
        <v>774.52821049310353</v>
      </c>
      <c r="BO44" s="36">
        <v>0</v>
      </c>
      <c r="BP44" s="36">
        <v>194.00618753479864</v>
      </c>
      <c r="BQ44" s="36">
        <v>0</v>
      </c>
      <c r="BR44" s="36">
        <v>0</v>
      </c>
      <c r="BS44" s="36">
        <v>0</v>
      </c>
      <c r="BT44" s="36">
        <v>0</v>
      </c>
      <c r="BU44" s="36">
        <v>0</v>
      </c>
      <c r="BV44" s="36">
        <v>0</v>
      </c>
      <c r="BW44" s="36">
        <v>0</v>
      </c>
      <c r="BX44" s="36">
        <v>8760.1592538105488</v>
      </c>
      <c r="BY44" s="36"/>
      <c r="BZ44" s="36">
        <v>0</v>
      </c>
      <c r="CA44" s="36">
        <v>651.58780396684574</v>
      </c>
      <c r="CB44" s="36">
        <v>968.53439802790217</v>
      </c>
      <c r="CC44" s="36">
        <v>9411.7470577773947</v>
      </c>
      <c r="CD44" s="162">
        <v>0.10290697275247682</v>
      </c>
      <c r="CE44" s="36">
        <v>450.67984647566703</v>
      </c>
      <c r="CF44" s="36">
        <v>14.297264914136624</v>
      </c>
      <c r="CG44" s="36">
        <v>0</v>
      </c>
      <c r="CH44" s="36">
        <v>14.297264914136624</v>
      </c>
      <c r="CI44" s="36">
        <v>0.71485849320929018</v>
      </c>
      <c r="CJ44" s="36">
        <v>0</v>
      </c>
      <c r="CK44" s="36">
        <v>0.71485849320929018</v>
      </c>
      <c r="CL44" s="36"/>
      <c r="CM44" s="36">
        <v>0</v>
      </c>
      <c r="CN44" s="36"/>
      <c r="CO44" s="36">
        <v>0</v>
      </c>
      <c r="CP44" s="36">
        <v>0</v>
      </c>
      <c r="CQ44" s="36">
        <v>0</v>
      </c>
      <c r="CR44" s="36">
        <v>0</v>
      </c>
      <c r="CS44" s="36">
        <v>0</v>
      </c>
      <c r="CT44" s="36">
        <v>0</v>
      </c>
      <c r="CU44" s="36">
        <v>0</v>
      </c>
      <c r="CV44" s="36">
        <v>9999</v>
      </c>
      <c r="CW44" s="182">
        <v>9999</v>
      </c>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c r="A45" s="9" t="s">
        <v>365</v>
      </c>
      <c r="B45" s="9" t="s">
        <v>365</v>
      </c>
      <c r="C45" s="36">
        <v>20</v>
      </c>
      <c r="D45" s="36">
        <v>1484</v>
      </c>
      <c r="E45" s="36">
        <v>0</v>
      </c>
      <c r="F45" s="36">
        <v>8617.594254937163</v>
      </c>
      <c r="G45" s="36">
        <v>0</v>
      </c>
      <c r="H45" s="36">
        <v>651.58780396684574</v>
      </c>
      <c r="I45" s="36" t="s">
        <v>513</v>
      </c>
      <c r="J45" s="36"/>
      <c r="K45" s="36"/>
      <c r="L45" s="36">
        <v>1595.2631637933634</v>
      </c>
      <c r="M45" s="36">
        <v>0.26651693572016161</v>
      </c>
      <c r="N45" s="36">
        <v>0.26459333599594176</v>
      </c>
      <c r="O45" s="36">
        <v>0</v>
      </c>
      <c r="P45" s="36">
        <v>0</v>
      </c>
      <c r="Q45" s="36">
        <v>0</v>
      </c>
      <c r="R45" s="36">
        <v>1718.4634125860443</v>
      </c>
      <c r="S45" s="36">
        <v>3971.1075696767621</v>
      </c>
      <c r="T45" s="36">
        <v>0</v>
      </c>
      <c r="U45" s="36">
        <v>3070.5882715477414</v>
      </c>
      <c r="V45" s="36" t="s">
        <v>707</v>
      </c>
      <c r="W45" s="36" t="s">
        <v>707</v>
      </c>
      <c r="X45" s="36" t="s">
        <v>707</v>
      </c>
      <c r="Y45" s="36" t="s">
        <v>707</v>
      </c>
      <c r="Z45" s="36">
        <v>0</v>
      </c>
      <c r="AA45" s="36">
        <v>0</v>
      </c>
      <c r="AB45" s="36">
        <v>0</v>
      </c>
      <c r="AC45" s="36">
        <v>0</v>
      </c>
      <c r="AD45" s="36">
        <v>0</v>
      </c>
      <c r="AE45" s="36">
        <v>0</v>
      </c>
      <c r="AF45" s="36">
        <v>0</v>
      </c>
      <c r="AG45" s="36">
        <v>651.58780396684574</v>
      </c>
      <c r="AH45" s="36">
        <v>1718.4634125860443</v>
      </c>
      <c r="AI45" s="36">
        <v>3971.1075696767621</v>
      </c>
      <c r="AJ45" s="36">
        <v>0</v>
      </c>
      <c r="AK45" s="36">
        <v>3722.176075514587</v>
      </c>
      <c r="AL45" s="36">
        <v>9411.7470577773947</v>
      </c>
      <c r="AM45" s="36">
        <v>820.99990312269017</v>
      </c>
      <c r="AN45" s="36">
        <v>94.173355455342048</v>
      </c>
      <c r="AO45" s="36">
        <v>0</v>
      </c>
      <c r="AP45" s="36">
        <v>0</v>
      </c>
      <c r="AQ45" s="36">
        <v>915.17325857803223</v>
      </c>
      <c r="AR45" s="36">
        <v>1718.4634125860443</v>
      </c>
      <c r="AS45" s="162">
        <v>0.53255324022338413</v>
      </c>
      <c r="AT45" s="36">
        <v>820.99990312269017</v>
      </c>
      <c r="AU45" s="36">
        <v>111.47320333154452</v>
      </c>
      <c r="AV45" s="36">
        <v>0</v>
      </c>
      <c r="AW45" s="36">
        <v>0</v>
      </c>
      <c r="AX45" s="36">
        <v>932.47310645423465</v>
      </c>
      <c r="AY45" s="36">
        <v>3971.1075696767621</v>
      </c>
      <c r="AZ45" s="162">
        <v>0.23481436604099232</v>
      </c>
      <c r="BA45" s="36">
        <v>820.99990312269017</v>
      </c>
      <c r="BB45" s="36">
        <v>205.64655878688657</v>
      </c>
      <c r="BC45" s="36">
        <v>0</v>
      </c>
      <c r="BD45" s="36">
        <v>0</v>
      </c>
      <c r="BE45" s="36">
        <v>1026.6464619095766</v>
      </c>
      <c r="BF45" s="36">
        <v>5689.5709822628069</v>
      </c>
      <c r="BG45" s="36">
        <v>252.94682840275445</v>
      </c>
      <c r="BH45" s="162">
        <v>0.18044356333898268</v>
      </c>
      <c r="BI45" s="36">
        <v>79.264380099588848</v>
      </c>
      <c r="BJ45" s="36">
        <v>183.16792636599286</v>
      </c>
      <c r="BK45" s="36">
        <v>0</v>
      </c>
      <c r="BL45" s="36">
        <v>171.68592423111104</v>
      </c>
      <c r="BM45" s="36">
        <v>434.11823069669282</v>
      </c>
      <c r="BN45" s="36">
        <v>820.99990312269017</v>
      </c>
      <c r="BO45" s="36">
        <v>0</v>
      </c>
      <c r="BP45" s="36">
        <v>205.64655878688657</v>
      </c>
      <c r="BQ45" s="36">
        <v>0</v>
      </c>
      <c r="BR45" s="36">
        <v>0</v>
      </c>
      <c r="BS45" s="36">
        <v>0</v>
      </c>
      <c r="BT45" s="36">
        <v>0</v>
      </c>
      <c r="BU45" s="36">
        <v>0</v>
      </c>
      <c r="BV45" s="36">
        <v>0</v>
      </c>
      <c r="BW45" s="36">
        <v>0</v>
      </c>
      <c r="BX45" s="36">
        <v>8760.1592538105488</v>
      </c>
      <c r="BY45" s="36"/>
      <c r="BZ45" s="36">
        <v>0</v>
      </c>
      <c r="CA45" s="36">
        <v>651.58780396684574</v>
      </c>
      <c r="CB45" s="36">
        <v>1026.6464619095768</v>
      </c>
      <c r="CC45" s="36">
        <v>9411.7470577773947</v>
      </c>
      <c r="CD45" s="162">
        <v>0.10908139111762548</v>
      </c>
      <c r="CE45" s="36">
        <v>424.63275263386549</v>
      </c>
      <c r="CF45" s="36">
        <v>15.15510080898482</v>
      </c>
      <c r="CG45" s="36">
        <v>0</v>
      </c>
      <c r="CH45" s="36">
        <v>15.15510080898482</v>
      </c>
      <c r="CI45" s="36">
        <v>0.75775000280184734</v>
      </c>
      <c r="CJ45" s="36">
        <v>0</v>
      </c>
      <c r="CK45" s="36">
        <v>0.75775000280184734</v>
      </c>
      <c r="CL45" s="36"/>
      <c r="CM45" s="36">
        <v>0</v>
      </c>
      <c r="CN45" s="36"/>
      <c r="CO45" s="36">
        <v>0</v>
      </c>
      <c r="CP45" s="36">
        <v>0</v>
      </c>
      <c r="CQ45" s="36">
        <v>0</v>
      </c>
      <c r="CR45" s="36">
        <v>0</v>
      </c>
      <c r="CS45" s="36">
        <v>0</v>
      </c>
      <c r="CT45" s="36">
        <v>0</v>
      </c>
      <c r="CU45" s="36">
        <v>0</v>
      </c>
      <c r="CV45" s="36">
        <v>9999</v>
      </c>
      <c r="CW45" s="182">
        <v>9999</v>
      </c>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c r="A46" s="9"/>
      <c r="B46" s="9"/>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c r="B47" s="9"/>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ht="13.5" thickBot="1">
      <c r="A48" s="34" t="s">
        <v>708</v>
      </c>
      <c r="B48" s="3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ht="26.25" thickBot="1">
      <c r="A49" s="175" t="s">
        <v>612</v>
      </c>
      <c r="B49" s="176"/>
      <c r="C49" s="177" t="s">
        <v>613</v>
      </c>
      <c r="D49" s="178"/>
      <c r="E49" s="178"/>
      <c r="F49" s="178"/>
      <c r="G49" s="178"/>
      <c r="H49" s="178"/>
      <c r="I49" s="178"/>
      <c r="J49" s="178"/>
      <c r="K49" s="179"/>
      <c r="L49" s="177" t="s">
        <v>614</v>
      </c>
      <c r="M49" s="178"/>
      <c r="N49" s="178"/>
      <c r="O49" s="178"/>
      <c r="P49" s="178"/>
      <c r="Q49" s="179"/>
      <c r="R49" s="177" t="s">
        <v>615</v>
      </c>
      <c r="S49" s="178"/>
      <c r="T49" s="178"/>
      <c r="U49" s="179"/>
      <c r="V49" s="177" t="s">
        <v>616</v>
      </c>
      <c r="W49" s="178"/>
      <c r="X49" s="178"/>
      <c r="Y49" s="179"/>
      <c r="Z49" s="177" t="s">
        <v>617</v>
      </c>
      <c r="AA49" s="178"/>
      <c r="AB49" s="178"/>
      <c r="AC49" s="179"/>
      <c r="AD49" s="177" t="s">
        <v>618</v>
      </c>
      <c r="AE49" s="178"/>
      <c r="AF49" s="178"/>
      <c r="AG49" s="179"/>
      <c r="AH49" s="177" t="s">
        <v>619</v>
      </c>
      <c r="AI49" s="178"/>
      <c r="AJ49" s="178"/>
      <c r="AK49" s="178"/>
      <c r="AL49" s="179"/>
      <c r="AM49" s="177" t="s">
        <v>620</v>
      </c>
      <c r="AN49" s="178"/>
      <c r="AO49" s="178"/>
      <c r="AP49" s="178"/>
      <c r="AQ49" s="178"/>
      <c r="AR49" s="178"/>
      <c r="AS49" s="179"/>
      <c r="AT49" s="177" t="s">
        <v>621</v>
      </c>
      <c r="AU49" s="178"/>
      <c r="AV49" s="178"/>
      <c r="AW49" s="178"/>
      <c r="AX49" s="178"/>
      <c r="AY49" s="178"/>
      <c r="AZ49" s="179"/>
      <c r="BA49" s="177" t="s">
        <v>622</v>
      </c>
      <c r="BB49" s="178"/>
      <c r="BC49" s="178"/>
      <c r="BD49" s="178"/>
      <c r="BE49" s="178"/>
      <c r="BF49" s="179"/>
      <c r="BG49" s="177" t="s">
        <v>623</v>
      </c>
      <c r="BH49" s="179"/>
      <c r="BI49" s="177" t="s">
        <v>624</v>
      </c>
      <c r="BJ49" s="178"/>
      <c r="BK49" s="178"/>
      <c r="BL49" s="178"/>
      <c r="BM49" s="179"/>
      <c r="BN49" s="177" t="s">
        <v>625</v>
      </c>
      <c r="BO49" s="178"/>
      <c r="BP49" s="178"/>
      <c r="BQ49" s="178"/>
      <c r="BR49" s="178"/>
      <c r="BS49" s="178"/>
      <c r="BT49" s="178"/>
      <c r="BU49" s="178"/>
      <c r="BV49" s="178"/>
      <c r="BW49" s="178"/>
      <c r="BX49" s="178"/>
      <c r="BY49" s="178"/>
      <c r="BZ49" s="178"/>
      <c r="CA49" s="178"/>
      <c r="CB49" s="178"/>
      <c r="CC49" s="179"/>
      <c r="CD49" s="177" t="s">
        <v>626</v>
      </c>
      <c r="CE49" s="179"/>
      <c r="CF49" s="177" t="s">
        <v>627</v>
      </c>
      <c r="CG49" s="178"/>
      <c r="CH49" s="178"/>
      <c r="CI49" s="178"/>
      <c r="CJ49" s="178"/>
      <c r="CK49" s="179"/>
      <c r="CL49" s="180"/>
      <c r="CM49" s="177" t="s">
        <v>5</v>
      </c>
      <c r="CN49" s="178"/>
      <c r="CO49" s="178"/>
      <c r="CP49" s="179"/>
      <c r="CQ49" s="177" t="s">
        <v>628</v>
      </c>
      <c r="CR49" s="178"/>
      <c r="CS49" s="178"/>
      <c r="CT49" s="178"/>
      <c r="CU49" s="179"/>
      <c r="CV49" s="177" t="s">
        <v>629</v>
      </c>
      <c r="CW49" s="17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ht="204">
      <c r="A50" s="37" t="s">
        <v>21</v>
      </c>
      <c r="B50" s="38" t="s">
        <v>22</v>
      </c>
      <c r="C50" s="39" t="s">
        <v>149</v>
      </c>
      <c r="D50" s="39" t="s">
        <v>630</v>
      </c>
      <c r="E50" s="39" t="s">
        <v>631</v>
      </c>
      <c r="F50" s="39" t="s">
        <v>632</v>
      </c>
      <c r="G50" s="39" t="s">
        <v>633</v>
      </c>
      <c r="H50" s="39" t="s">
        <v>634</v>
      </c>
      <c r="I50" s="39" t="s">
        <v>635</v>
      </c>
      <c r="J50" s="39" t="s">
        <v>636</v>
      </c>
      <c r="K50" s="39" t="s">
        <v>637</v>
      </c>
      <c r="L50" s="39" t="s">
        <v>638</v>
      </c>
      <c r="M50" s="39" t="s">
        <v>639</v>
      </c>
      <c r="N50" s="39" t="s">
        <v>640</v>
      </c>
      <c r="O50" s="39" t="s">
        <v>641</v>
      </c>
      <c r="P50" s="39" t="s">
        <v>642</v>
      </c>
      <c r="Q50" s="39" t="s">
        <v>643</v>
      </c>
      <c r="R50" s="39" t="s">
        <v>644</v>
      </c>
      <c r="S50" s="39" t="s">
        <v>645</v>
      </c>
      <c r="T50" s="39" t="s">
        <v>646</v>
      </c>
      <c r="U50" s="39" t="s">
        <v>552</v>
      </c>
      <c r="V50" s="39" t="s">
        <v>644</v>
      </c>
      <c r="W50" s="39" t="s">
        <v>645</v>
      </c>
      <c r="X50" s="39" t="s">
        <v>646</v>
      </c>
      <c r="Y50" s="39" t="s">
        <v>552</v>
      </c>
      <c r="Z50" s="39" t="s">
        <v>644</v>
      </c>
      <c r="AA50" s="39" t="s">
        <v>645</v>
      </c>
      <c r="AB50" s="39" t="s">
        <v>646</v>
      </c>
      <c r="AC50" s="39" t="s">
        <v>552</v>
      </c>
      <c r="AD50" s="39" t="s">
        <v>644</v>
      </c>
      <c r="AE50" s="39" t="s">
        <v>645</v>
      </c>
      <c r="AF50" s="39" t="s">
        <v>646</v>
      </c>
      <c r="AG50" s="39" t="s">
        <v>552</v>
      </c>
      <c r="AH50" s="39" t="s">
        <v>644</v>
      </c>
      <c r="AI50" s="39" t="s">
        <v>645</v>
      </c>
      <c r="AJ50" s="39" t="s">
        <v>646</v>
      </c>
      <c r="AK50" s="39" t="s">
        <v>552</v>
      </c>
      <c r="AL50" s="39" t="s">
        <v>175</v>
      </c>
      <c r="AM50" s="39" t="s">
        <v>647</v>
      </c>
      <c r="AN50" s="39" t="s">
        <v>648</v>
      </c>
      <c r="AO50" s="39" t="s">
        <v>649</v>
      </c>
      <c r="AP50" s="39" t="s">
        <v>650</v>
      </c>
      <c r="AQ50" s="39" t="s">
        <v>651</v>
      </c>
      <c r="AR50" s="39" t="s">
        <v>652</v>
      </c>
      <c r="AS50" s="39" t="s">
        <v>653</v>
      </c>
      <c r="AT50" s="39" t="s">
        <v>654</v>
      </c>
      <c r="AU50" s="39" t="s">
        <v>655</v>
      </c>
      <c r="AV50" s="39" t="s">
        <v>656</v>
      </c>
      <c r="AW50" s="39" t="s">
        <v>657</v>
      </c>
      <c r="AX50" s="39" t="s">
        <v>658</v>
      </c>
      <c r="AY50" s="39" t="s">
        <v>659</v>
      </c>
      <c r="AZ50" s="39" t="s">
        <v>660</v>
      </c>
      <c r="BA50" s="39" t="s">
        <v>661</v>
      </c>
      <c r="BB50" s="39" t="s">
        <v>662</v>
      </c>
      <c r="BC50" s="39" t="s">
        <v>663</v>
      </c>
      <c r="BD50" s="39" t="s">
        <v>664</v>
      </c>
      <c r="BE50" s="39" t="s">
        <v>665</v>
      </c>
      <c r="BF50" s="39" t="s">
        <v>666</v>
      </c>
      <c r="BG50" s="39" t="s">
        <v>667</v>
      </c>
      <c r="BH50" s="39" t="s">
        <v>668</v>
      </c>
      <c r="BI50" s="39" t="s">
        <v>669</v>
      </c>
      <c r="BJ50" s="39" t="s">
        <v>670</v>
      </c>
      <c r="BK50" s="39" t="s">
        <v>671</v>
      </c>
      <c r="BL50" s="39" t="s">
        <v>672</v>
      </c>
      <c r="BM50" s="39" t="s">
        <v>673</v>
      </c>
      <c r="BN50" s="39" t="s">
        <v>674</v>
      </c>
      <c r="BO50" s="39" t="s">
        <v>675</v>
      </c>
      <c r="BP50" s="39" t="s">
        <v>676</v>
      </c>
      <c r="BQ50" s="39" t="s">
        <v>677</v>
      </c>
      <c r="BR50" s="39" t="s">
        <v>678</v>
      </c>
      <c r="BS50" s="39" t="s">
        <v>679</v>
      </c>
      <c r="BT50" s="39" t="s">
        <v>680</v>
      </c>
      <c r="BU50" s="39" t="s">
        <v>681</v>
      </c>
      <c r="BV50" s="39" t="s">
        <v>682</v>
      </c>
      <c r="BW50" s="39" t="s">
        <v>683</v>
      </c>
      <c r="BX50" s="39" t="s">
        <v>684</v>
      </c>
      <c r="BY50" s="39" t="s">
        <v>685</v>
      </c>
      <c r="BZ50" s="39" t="s">
        <v>686</v>
      </c>
      <c r="CA50" s="39" t="s">
        <v>687</v>
      </c>
      <c r="CB50" s="39" t="s">
        <v>688</v>
      </c>
      <c r="CC50" s="39" t="s">
        <v>689</v>
      </c>
      <c r="CD50" s="39" t="s">
        <v>23</v>
      </c>
      <c r="CE50" s="39" t="s">
        <v>24</v>
      </c>
      <c r="CF50" s="39" t="s">
        <v>690</v>
      </c>
      <c r="CG50" s="39" t="s">
        <v>691</v>
      </c>
      <c r="CH50" s="39" t="s">
        <v>692</v>
      </c>
      <c r="CI50" s="39" t="s">
        <v>693</v>
      </c>
      <c r="CJ50" s="39" t="s">
        <v>694</v>
      </c>
      <c r="CK50" s="39" t="s">
        <v>695</v>
      </c>
      <c r="CL50" s="39"/>
      <c r="CM50" s="39" t="s">
        <v>696</v>
      </c>
      <c r="CN50" s="39" t="s">
        <v>697</v>
      </c>
      <c r="CO50" s="39" t="s">
        <v>698</v>
      </c>
      <c r="CP50" s="39" t="s">
        <v>699</v>
      </c>
      <c r="CQ50" s="39" t="s">
        <v>700</v>
      </c>
      <c r="CR50" s="39" t="s">
        <v>701</v>
      </c>
      <c r="CS50" s="39" t="s">
        <v>702</v>
      </c>
      <c r="CT50" s="39" t="s">
        <v>703</v>
      </c>
      <c r="CU50" s="39" t="s">
        <v>704</v>
      </c>
      <c r="CV50" s="39" t="s">
        <v>705</v>
      </c>
      <c r="CW50" s="39" t="s">
        <v>706</v>
      </c>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t="s">
        <v>365</v>
      </c>
      <c r="B51" s="9"/>
      <c r="C51" s="36">
        <v>20</v>
      </c>
      <c r="D51" s="36">
        <v>1484</v>
      </c>
      <c r="E51" s="36">
        <v>0</v>
      </c>
      <c r="F51" s="36">
        <v>8617.594254937163</v>
      </c>
      <c r="G51" s="36">
        <v>0</v>
      </c>
      <c r="H51" s="36">
        <v>651.58780396684574</v>
      </c>
      <c r="I51" s="36"/>
      <c r="J51" s="36"/>
      <c r="K51" s="36"/>
      <c r="L51" s="36">
        <v>1595.2631637933634</v>
      </c>
      <c r="M51" s="36">
        <v>0.26651693572016161</v>
      </c>
      <c r="N51" s="36">
        <v>0.26459333599594176</v>
      </c>
      <c r="O51" s="36">
        <v>0</v>
      </c>
      <c r="P51" s="36">
        <v>0</v>
      </c>
      <c r="Q51" s="36">
        <v>0</v>
      </c>
      <c r="R51" s="36">
        <v>1718.4634125860443</v>
      </c>
      <c r="S51" s="36">
        <v>3971.1075696767621</v>
      </c>
      <c r="T51" s="36">
        <v>0</v>
      </c>
      <c r="U51" s="36">
        <v>3070.5882715477414</v>
      </c>
      <c r="V51" s="36">
        <v>517.05565529622982</v>
      </c>
      <c r="W51" s="36">
        <v>1206.4631956912028</v>
      </c>
      <c r="X51" s="36">
        <v>0</v>
      </c>
      <c r="Y51" s="36">
        <v>0</v>
      </c>
      <c r="Z51" s="36">
        <v>0</v>
      </c>
      <c r="AA51" s="36">
        <v>0</v>
      </c>
      <c r="AB51" s="36">
        <v>0</v>
      </c>
      <c r="AC51" s="36">
        <v>0</v>
      </c>
      <c r="AD51" s="36">
        <v>0</v>
      </c>
      <c r="AE51" s="36">
        <v>0</v>
      </c>
      <c r="AF51" s="36">
        <v>0</v>
      </c>
      <c r="AG51" s="36">
        <v>651.58780396684574</v>
      </c>
      <c r="AH51" s="36">
        <v>2235.5190678822742</v>
      </c>
      <c r="AI51" s="36">
        <v>5177.5707653679647</v>
      </c>
      <c r="AJ51" s="36">
        <v>0</v>
      </c>
      <c r="AK51" s="36">
        <v>3722.176075514587</v>
      </c>
      <c r="AL51" s="36">
        <v>11135.265908764828</v>
      </c>
      <c r="AM51" s="36">
        <v>820.99990312269017</v>
      </c>
      <c r="AN51" s="36">
        <v>94.173355455342048</v>
      </c>
      <c r="AO51" s="36">
        <v>0</v>
      </c>
      <c r="AP51" s="36">
        <v>0</v>
      </c>
      <c r="AQ51" s="36">
        <v>915.17325857803223</v>
      </c>
      <c r="AR51" s="36">
        <v>2235.5190678822742</v>
      </c>
      <c r="AS51" s="162">
        <v>0.40937841762404803</v>
      </c>
      <c r="AT51" s="36">
        <v>820.99990312269017</v>
      </c>
      <c r="AU51" s="36">
        <v>111.47320333154452</v>
      </c>
      <c r="AV51" s="36">
        <v>0</v>
      </c>
      <c r="AW51" s="36">
        <v>0</v>
      </c>
      <c r="AX51" s="36">
        <v>932.47310645423465</v>
      </c>
      <c r="AY51" s="36">
        <v>5177.5707653679647</v>
      </c>
      <c r="AZ51" s="162">
        <v>0.18009857300095536</v>
      </c>
      <c r="BA51" s="36">
        <v>820.99990312269017</v>
      </c>
      <c r="BB51" s="36">
        <v>205.64655878688657</v>
      </c>
      <c r="BC51" s="36">
        <v>0</v>
      </c>
      <c r="BD51" s="36">
        <v>0</v>
      </c>
      <c r="BE51" s="36">
        <v>1026.6464619095766</v>
      </c>
      <c r="BF51" s="36">
        <v>7413.0898332502393</v>
      </c>
      <c r="BG51" s="36">
        <v>332.44439134934646</v>
      </c>
      <c r="BH51" s="162">
        <v>0.13849103208013433</v>
      </c>
      <c r="BI51" s="36">
        <v>103.11364898356648</v>
      </c>
      <c r="BJ51" s="36">
        <v>238.81622042860727</v>
      </c>
      <c r="BK51" s="36">
        <v>0</v>
      </c>
      <c r="BL51" s="36">
        <v>171.68592423111104</v>
      </c>
      <c r="BM51" s="36">
        <v>513.61579364328486</v>
      </c>
      <c r="BN51" s="36">
        <v>820.99990312269017</v>
      </c>
      <c r="BO51" s="36">
        <v>0</v>
      </c>
      <c r="BP51" s="36">
        <v>205.64655878688657</v>
      </c>
      <c r="BQ51" s="36">
        <v>0</v>
      </c>
      <c r="BR51" s="36">
        <v>0</v>
      </c>
      <c r="BS51" s="36">
        <v>0</v>
      </c>
      <c r="BT51" s="36">
        <v>0</v>
      </c>
      <c r="BU51" s="36">
        <v>0</v>
      </c>
      <c r="BV51" s="36">
        <v>0</v>
      </c>
      <c r="BW51" s="36">
        <v>0</v>
      </c>
      <c r="BX51" s="36">
        <v>8760.1592538105488</v>
      </c>
      <c r="BY51" s="36">
        <v>1723.5188509874326</v>
      </c>
      <c r="BZ51" s="36">
        <v>0</v>
      </c>
      <c r="CA51" s="36">
        <v>651.58780396684574</v>
      </c>
      <c r="CB51" s="36">
        <v>1026.6464619095768</v>
      </c>
      <c r="CC51" s="36">
        <v>11135.265908764828</v>
      </c>
      <c r="CD51" s="162">
        <v>9.2197749952381419E-2</v>
      </c>
      <c r="CE51" s="36">
        <v>504.13031558045765</v>
      </c>
      <c r="CF51" s="36">
        <v>15.15510080898482</v>
      </c>
      <c r="CG51" s="36">
        <v>0</v>
      </c>
      <c r="CH51" s="36">
        <v>15.15510080898482</v>
      </c>
      <c r="CI51" s="36">
        <v>0.75775000280184734</v>
      </c>
      <c r="CJ51" s="36">
        <v>0</v>
      </c>
      <c r="CK51" s="36">
        <v>0.75775000280184734</v>
      </c>
      <c r="CL51" s="36"/>
      <c r="CM51" s="36">
        <v>0</v>
      </c>
      <c r="CN51" s="36"/>
      <c r="CO51" s="36">
        <v>0</v>
      </c>
      <c r="CP51" s="36">
        <v>0</v>
      </c>
      <c r="CQ51" s="36">
        <v>0</v>
      </c>
      <c r="CR51" s="36">
        <v>0</v>
      </c>
      <c r="CS51" s="36">
        <v>0</v>
      </c>
      <c r="CT51" s="36">
        <v>0</v>
      </c>
      <c r="CU51" s="36">
        <v>0</v>
      </c>
      <c r="CV51" s="36">
        <v>9999</v>
      </c>
      <c r="CW51" s="182">
        <v>9999</v>
      </c>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c r="A52" s="9" t="s">
        <v>364</v>
      </c>
      <c r="B52" s="9"/>
      <c r="C52" s="36">
        <v>20</v>
      </c>
      <c r="D52" s="36">
        <v>1400</v>
      </c>
      <c r="E52" s="36">
        <v>0</v>
      </c>
      <c r="F52" s="36">
        <v>8617.594254937163</v>
      </c>
      <c r="G52" s="36">
        <v>0</v>
      </c>
      <c r="H52" s="36">
        <v>651.58780396684574</v>
      </c>
      <c r="I52" s="36"/>
      <c r="J52" s="36"/>
      <c r="K52" s="36"/>
      <c r="L52" s="36">
        <v>1504.9652488616637</v>
      </c>
      <c r="M52" s="36">
        <v>0.25143107143411469</v>
      </c>
      <c r="N52" s="36">
        <v>0.24961635471315258</v>
      </c>
      <c r="O52" s="36">
        <v>0</v>
      </c>
      <c r="P52" s="36">
        <v>0</v>
      </c>
      <c r="Q52" s="36">
        <v>0</v>
      </c>
      <c r="R52" s="36">
        <v>1718.4634125860443</v>
      </c>
      <c r="S52" s="36">
        <v>3971.1075696767621</v>
      </c>
      <c r="T52" s="36">
        <v>0</v>
      </c>
      <c r="U52" s="36">
        <v>3070.5882715477414</v>
      </c>
      <c r="V52" s="36">
        <v>517.05565529622982</v>
      </c>
      <c r="W52" s="36">
        <v>1206.4631956912028</v>
      </c>
      <c r="X52" s="36">
        <v>0</v>
      </c>
      <c r="Y52" s="36">
        <v>0</v>
      </c>
      <c r="Z52" s="36">
        <v>0</v>
      </c>
      <c r="AA52" s="36">
        <v>0</v>
      </c>
      <c r="AB52" s="36">
        <v>0</v>
      </c>
      <c r="AC52" s="36">
        <v>0</v>
      </c>
      <c r="AD52" s="36">
        <v>0</v>
      </c>
      <c r="AE52" s="36">
        <v>0</v>
      </c>
      <c r="AF52" s="36">
        <v>0</v>
      </c>
      <c r="AG52" s="36">
        <v>651.58780396684574</v>
      </c>
      <c r="AH52" s="36">
        <v>2235.5190678822742</v>
      </c>
      <c r="AI52" s="36">
        <v>5177.5707653679647</v>
      </c>
      <c r="AJ52" s="36">
        <v>0</v>
      </c>
      <c r="AK52" s="36">
        <v>3722.176075514587</v>
      </c>
      <c r="AL52" s="36">
        <v>11135.265908764828</v>
      </c>
      <c r="AM52" s="36">
        <v>774.52821049310353</v>
      </c>
      <c r="AN52" s="36">
        <v>88.842788165417005</v>
      </c>
      <c r="AO52" s="36">
        <v>0</v>
      </c>
      <c r="AP52" s="36">
        <v>0</v>
      </c>
      <c r="AQ52" s="36">
        <v>863.37099865852053</v>
      </c>
      <c r="AR52" s="36">
        <v>2235.5190678822742</v>
      </c>
      <c r="AS52" s="162">
        <v>0.38620605436230926</v>
      </c>
      <c r="AT52" s="36">
        <v>774.52821049310353</v>
      </c>
      <c r="AU52" s="36">
        <v>105.16339936938165</v>
      </c>
      <c r="AV52" s="36">
        <v>0</v>
      </c>
      <c r="AW52" s="36">
        <v>0</v>
      </c>
      <c r="AX52" s="36">
        <v>879.69160986248517</v>
      </c>
      <c r="AY52" s="36">
        <v>5177.5707653679647</v>
      </c>
      <c r="AZ52" s="162">
        <v>0.16990431415184459</v>
      </c>
      <c r="BA52" s="36">
        <v>774.52821049310353</v>
      </c>
      <c r="BB52" s="36">
        <v>194.00618753479864</v>
      </c>
      <c r="BC52" s="36">
        <v>0</v>
      </c>
      <c r="BD52" s="36">
        <v>0</v>
      </c>
      <c r="BE52" s="36">
        <v>968.53439802790217</v>
      </c>
      <c r="BF52" s="36">
        <v>7413.0898332502393</v>
      </c>
      <c r="BG52" s="36">
        <v>352.9601835140769</v>
      </c>
      <c r="BH52" s="162">
        <v>0.13065191705673046</v>
      </c>
      <c r="BI52" s="36">
        <v>109.30046792258045</v>
      </c>
      <c r="BJ52" s="36">
        <v>253.14519365432369</v>
      </c>
      <c r="BK52" s="36">
        <v>0</v>
      </c>
      <c r="BL52" s="36">
        <v>181.98707968497769</v>
      </c>
      <c r="BM52" s="36">
        <v>544.43274126188192</v>
      </c>
      <c r="BN52" s="36">
        <v>774.52821049310353</v>
      </c>
      <c r="BO52" s="36">
        <v>0</v>
      </c>
      <c r="BP52" s="36">
        <v>194.00618753479864</v>
      </c>
      <c r="BQ52" s="36">
        <v>0</v>
      </c>
      <c r="BR52" s="36">
        <v>0</v>
      </c>
      <c r="BS52" s="36">
        <v>0</v>
      </c>
      <c r="BT52" s="36">
        <v>0</v>
      </c>
      <c r="BU52" s="36">
        <v>0</v>
      </c>
      <c r="BV52" s="36">
        <v>0</v>
      </c>
      <c r="BW52" s="36">
        <v>0</v>
      </c>
      <c r="BX52" s="36">
        <v>8760.1592538105488</v>
      </c>
      <c r="BY52" s="36">
        <v>1723.5188509874326</v>
      </c>
      <c r="BZ52" s="36">
        <v>0</v>
      </c>
      <c r="CA52" s="36">
        <v>651.58780396684574</v>
      </c>
      <c r="CB52" s="36">
        <v>968.53439802790217</v>
      </c>
      <c r="CC52" s="36">
        <v>11135.265908764828</v>
      </c>
      <c r="CD52" s="162">
        <v>8.6979009389039033E-2</v>
      </c>
      <c r="CE52" s="36">
        <v>534.94726319905465</v>
      </c>
      <c r="CF52" s="36">
        <v>14.297264914136624</v>
      </c>
      <c r="CG52" s="36">
        <v>0</v>
      </c>
      <c r="CH52" s="36">
        <v>14.297264914136624</v>
      </c>
      <c r="CI52" s="36">
        <v>0.71485849320929018</v>
      </c>
      <c r="CJ52" s="36">
        <v>0</v>
      </c>
      <c r="CK52" s="36">
        <v>0.71485849320929018</v>
      </c>
      <c r="CL52" s="36"/>
      <c r="CM52" s="36">
        <v>0</v>
      </c>
      <c r="CN52" s="36"/>
      <c r="CO52" s="36">
        <v>0</v>
      </c>
      <c r="CP52" s="36">
        <v>0</v>
      </c>
      <c r="CQ52" s="36">
        <v>0</v>
      </c>
      <c r="CR52" s="36">
        <v>0</v>
      </c>
      <c r="CS52" s="36">
        <v>0</v>
      </c>
      <c r="CT52" s="36">
        <v>0</v>
      </c>
      <c r="CU52" s="36">
        <v>0</v>
      </c>
      <c r="CV52" s="36">
        <v>9999</v>
      </c>
      <c r="CW52" s="182">
        <v>9999</v>
      </c>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c r="A53" s="9" t="s">
        <v>363</v>
      </c>
      <c r="B53" s="9"/>
      <c r="C53" s="36">
        <v>20</v>
      </c>
      <c r="D53" s="36">
        <v>1204</v>
      </c>
      <c r="E53" s="36">
        <v>0</v>
      </c>
      <c r="F53" s="36">
        <v>8617.594254937163</v>
      </c>
      <c r="G53" s="36">
        <v>0</v>
      </c>
      <c r="H53" s="36">
        <v>651.58780396684574</v>
      </c>
      <c r="I53" s="36"/>
      <c r="J53" s="36"/>
      <c r="K53" s="36"/>
      <c r="L53" s="36">
        <v>1294.2701140210308</v>
      </c>
      <c r="M53" s="36">
        <v>0.21623072143333863</v>
      </c>
      <c r="N53" s="36">
        <v>0.21467006505331121</v>
      </c>
      <c r="O53" s="36">
        <v>0</v>
      </c>
      <c r="P53" s="36">
        <v>0</v>
      </c>
      <c r="Q53" s="36">
        <v>0</v>
      </c>
      <c r="R53" s="36">
        <v>1718.4634125860443</v>
      </c>
      <c r="S53" s="36">
        <v>3971.1075696767621</v>
      </c>
      <c r="T53" s="36">
        <v>0</v>
      </c>
      <c r="U53" s="36">
        <v>3070.5882715477414</v>
      </c>
      <c r="V53" s="36">
        <v>517.05565529622982</v>
      </c>
      <c r="W53" s="36">
        <v>1206.4631956912028</v>
      </c>
      <c r="X53" s="36">
        <v>0</v>
      </c>
      <c r="Y53" s="36">
        <v>0</v>
      </c>
      <c r="Z53" s="36">
        <v>0</v>
      </c>
      <c r="AA53" s="36">
        <v>0</v>
      </c>
      <c r="AB53" s="36">
        <v>0</v>
      </c>
      <c r="AC53" s="36">
        <v>0</v>
      </c>
      <c r="AD53" s="36">
        <v>0</v>
      </c>
      <c r="AE53" s="36">
        <v>0</v>
      </c>
      <c r="AF53" s="36">
        <v>0</v>
      </c>
      <c r="AG53" s="36">
        <v>651.58780396684574</v>
      </c>
      <c r="AH53" s="36">
        <v>2235.5190678822742</v>
      </c>
      <c r="AI53" s="36">
        <v>5177.5707653679647</v>
      </c>
      <c r="AJ53" s="36">
        <v>0</v>
      </c>
      <c r="AK53" s="36">
        <v>3722.176075514587</v>
      </c>
      <c r="AL53" s="36">
        <v>11135.265908764828</v>
      </c>
      <c r="AM53" s="36">
        <v>666.09426102406928</v>
      </c>
      <c r="AN53" s="36">
        <v>76.404797822258629</v>
      </c>
      <c r="AO53" s="36">
        <v>0</v>
      </c>
      <c r="AP53" s="36">
        <v>0</v>
      </c>
      <c r="AQ53" s="36">
        <v>742.4990588463279</v>
      </c>
      <c r="AR53" s="36">
        <v>2235.5190678822742</v>
      </c>
      <c r="AS53" s="162">
        <v>0.33213720675158609</v>
      </c>
      <c r="AT53" s="36">
        <v>666.09426102406928</v>
      </c>
      <c r="AU53" s="36">
        <v>90.440523457668206</v>
      </c>
      <c r="AV53" s="36">
        <v>0</v>
      </c>
      <c r="AW53" s="36">
        <v>0</v>
      </c>
      <c r="AX53" s="36">
        <v>756.53478448173746</v>
      </c>
      <c r="AY53" s="36">
        <v>5177.5707653679647</v>
      </c>
      <c r="AZ53" s="162">
        <v>0.14611771017058639</v>
      </c>
      <c r="BA53" s="36">
        <v>666.09426102406928</v>
      </c>
      <c r="BB53" s="36">
        <v>166.84532127992685</v>
      </c>
      <c r="BC53" s="36">
        <v>0</v>
      </c>
      <c r="BD53" s="36">
        <v>0</v>
      </c>
      <c r="BE53" s="36">
        <v>832.93958230399608</v>
      </c>
      <c r="BF53" s="36">
        <v>7413.0898332502393</v>
      </c>
      <c r="BG53" s="36">
        <v>411.96296563124736</v>
      </c>
      <c r="BH53" s="162">
        <v>0.11236064866878823</v>
      </c>
      <c r="BI53" s="36">
        <v>127.09356735183773</v>
      </c>
      <c r="BJ53" s="36">
        <v>294.35487634223688</v>
      </c>
      <c r="BK53" s="36">
        <v>0</v>
      </c>
      <c r="BL53" s="36">
        <v>211.61288335462524</v>
      </c>
      <c r="BM53" s="36">
        <v>633.06132704869992</v>
      </c>
      <c r="BN53" s="36">
        <v>666.09426102406928</v>
      </c>
      <c r="BO53" s="36">
        <v>0</v>
      </c>
      <c r="BP53" s="36">
        <v>166.84532127992685</v>
      </c>
      <c r="BQ53" s="36">
        <v>0</v>
      </c>
      <c r="BR53" s="36">
        <v>0</v>
      </c>
      <c r="BS53" s="36">
        <v>0</v>
      </c>
      <c r="BT53" s="36">
        <v>0</v>
      </c>
      <c r="BU53" s="36">
        <v>0</v>
      </c>
      <c r="BV53" s="36">
        <v>0</v>
      </c>
      <c r="BW53" s="36">
        <v>0</v>
      </c>
      <c r="BX53" s="36">
        <v>8760.1592538105488</v>
      </c>
      <c r="BY53" s="36">
        <v>1723.5188509874326</v>
      </c>
      <c r="BZ53" s="36">
        <v>0</v>
      </c>
      <c r="CA53" s="36">
        <v>651.58780396684574</v>
      </c>
      <c r="CB53" s="36">
        <v>832.93958230399608</v>
      </c>
      <c r="CC53" s="36">
        <v>11135.265908764828</v>
      </c>
      <c r="CD53" s="162">
        <v>7.4801948074573577E-2</v>
      </c>
      <c r="CE53" s="36">
        <v>623.57584898587277</v>
      </c>
      <c r="CF53" s="36">
        <v>12.295647826157477</v>
      </c>
      <c r="CG53" s="36">
        <v>0</v>
      </c>
      <c r="CH53" s="36">
        <v>12.295647826157477</v>
      </c>
      <c r="CI53" s="36">
        <v>0.61477830415998946</v>
      </c>
      <c r="CJ53" s="36">
        <v>0</v>
      </c>
      <c r="CK53" s="36">
        <v>0.61477830415998946</v>
      </c>
      <c r="CL53" s="36"/>
      <c r="CM53" s="36">
        <v>0</v>
      </c>
      <c r="CN53" s="36"/>
      <c r="CO53" s="36">
        <v>0</v>
      </c>
      <c r="CP53" s="36">
        <v>0</v>
      </c>
      <c r="CQ53" s="36">
        <v>0</v>
      </c>
      <c r="CR53" s="36">
        <v>0</v>
      </c>
      <c r="CS53" s="36">
        <v>0</v>
      </c>
      <c r="CT53" s="36">
        <v>0</v>
      </c>
      <c r="CU53" s="36">
        <v>0</v>
      </c>
      <c r="CV53" s="36">
        <v>9999</v>
      </c>
      <c r="CW53" s="182">
        <v>9999</v>
      </c>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c r="A54" s="9" t="s">
        <v>362</v>
      </c>
      <c r="B54" s="9"/>
      <c r="C54" s="36">
        <v>20</v>
      </c>
      <c r="D54" s="36">
        <v>1120</v>
      </c>
      <c r="E54" s="36">
        <v>0</v>
      </c>
      <c r="F54" s="36">
        <v>8617.594254937163</v>
      </c>
      <c r="G54" s="36">
        <v>0</v>
      </c>
      <c r="H54" s="36">
        <v>651.58780396684574</v>
      </c>
      <c r="I54" s="36"/>
      <c r="J54" s="36"/>
      <c r="K54" s="36"/>
      <c r="L54" s="36">
        <v>1203.9721990893308</v>
      </c>
      <c r="M54" s="36">
        <v>0.20114485714729177</v>
      </c>
      <c r="N54" s="36">
        <v>0.19969308377052206</v>
      </c>
      <c r="O54" s="36">
        <v>0</v>
      </c>
      <c r="P54" s="36">
        <v>0</v>
      </c>
      <c r="Q54" s="36">
        <v>0</v>
      </c>
      <c r="R54" s="36">
        <v>1718.4634125860443</v>
      </c>
      <c r="S54" s="36">
        <v>3971.1075696767621</v>
      </c>
      <c r="T54" s="36">
        <v>0</v>
      </c>
      <c r="U54" s="36">
        <v>3070.5882715477414</v>
      </c>
      <c r="V54" s="36">
        <v>517.05565529622982</v>
      </c>
      <c r="W54" s="36">
        <v>1206.4631956912028</v>
      </c>
      <c r="X54" s="36">
        <v>0</v>
      </c>
      <c r="Y54" s="36">
        <v>0</v>
      </c>
      <c r="Z54" s="36">
        <v>0</v>
      </c>
      <c r="AA54" s="36">
        <v>0</v>
      </c>
      <c r="AB54" s="36">
        <v>0</v>
      </c>
      <c r="AC54" s="36">
        <v>0</v>
      </c>
      <c r="AD54" s="36">
        <v>0</v>
      </c>
      <c r="AE54" s="36">
        <v>0</v>
      </c>
      <c r="AF54" s="36">
        <v>0</v>
      </c>
      <c r="AG54" s="36">
        <v>651.58780396684574</v>
      </c>
      <c r="AH54" s="36">
        <v>2235.5190678822742</v>
      </c>
      <c r="AI54" s="36">
        <v>5177.5707653679647</v>
      </c>
      <c r="AJ54" s="36">
        <v>0</v>
      </c>
      <c r="AK54" s="36">
        <v>3722.176075514587</v>
      </c>
      <c r="AL54" s="36">
        <v>11135.265908764828</v>
      </c>
      <c r="AM54" s="36">
        <v>619.62256839448321</v>
      </c>
      <c r="AN54" s="36">
        <v>71.07423053233363</v>
      </c>
      <c r="AO54" s="36">
        <v>0</v>
      </c>
      <c r="AP54" s="36">
        <v>0</v>
      </c>
      <c r="AQ54" s="36">
        <v>690.69679892681688</v>
      </c>
      <c r="AR54" s="36">
        <v>2235.5190678822742</v>
      </c>
      <c r="AS54" s="162">
        <v>0.30896484348984765</v>
      </c>
      <c r="AT54" s="36">
        <v>619.62256839448321</v>
      </c>
      <c r="AU54" s="36">
        <v>84.130719495505303</v>
      </c>
      <c r="AV54" s="36">
        <v>0</v>
      </c>
      <c r="AW54" s="36">
        <v>0</v>
      </c>
      <c r="AX54" s="36">
        <v>703.75328788998854</v>
      </c>
      <c r="AY54" s="36">
        <v>5177.5707653679647</v>
      </c>
      <c r="AZ54" s="162">
        <v>0.13592345132147576</v>
      </c>
      <c r="BA54" s="36">
        <v>619.62256839448321</v>
      </c>
      <c r="BB54" s="36">
        <v>155.20495002783895</v>
      </c>
      <c r="BC54" s="36">
        <v>0</v>
      </c>
      <c r="BD54" s="36">
        <v>0</v>
      </c>
      <c r="BE54" s="36">
        <v>774.82751842232221</v>
      </c>
      <c r="BF54" s="36">
        <v>7413.0898332502393</v>
      </c>
      <c r="BG54" s="36">
        <v>443.57159890830297</v>
      </c>
      <c r="BH54" s="162">
        <v>0.10452153364538444</v>
      </c>
      <c r="BI54" s="36">
        <v>136.62558490322559</v>
      </c>
      <c r="BJ54" s="36">
        <v>316.43149206790463</v>
      </c>
      <c r="BK54" s="36">
        <v>0</v>
      </c>
      <c r="BL54" s="36">
        <v>227.48384960622215</v>
      </c>
      <c r="BM54" s="36">
        <v>680.54092657735248</v>
      </c>
      <c r="BN54" s="36">
        <v>619.62256839448321</v>
      </c>
      <c r="BO54" s="36">
        <v>0</v>
      </c>
      <c r="BP54" s="36">
        <v>155.20495002783895</v>
      </c>
      <c r="BQ54" s="36">
        <v>0</v>
      </c>
      <c r="BR54" s="36">
        <v>0</v>
      </c>
      <c r="BS54" s="36">
        <v>0</v>
      </c>
      <c r="BT54" s="36">
        <v>0</v>
      </c>
      <c r="BU54" s="36">
        <v>0</v>
      </c>
      <c r="BV54" s="36">
        <v>0</v>
      </c>
      <c r="BW54" s="36">
        <v>0</v>
      </c>
      <c r="BX54" s="36">
        <v>8760.1592538105488</v>
      </c>
      <c r="BY54" s="36">
        <v>1723.5188509874326</v>
      </c>
      <c r="BZ54" s="36">
        <v>0</v>
      </c>
      <c r="CA54" s="36">
        <v>651.58780396684574</v>
      </c>
      <c r="CB54" s="36">
        <v>774.82751842232221</v>
      </c>
      <c r="CC54" s="36">
        <v>11135.265908764828</v>
      </c>
      <c r="CD54" s="162">
        <v>6.958320751123126E-2</v>
      </c>
      <c r="CE54" s="36">
        <v>671.05544851452532</v>
      </c>
      <c r="CF54" s="36">
        <v>11.437811931309296</v>
      </c>
      <c r="CG54" s="36">
        <v>0</v>
      </c>
      <c r="CH54" s="36">
        <v>11.437811931309296</v>
      </c>
      <c r="CI54" s="36">
        <v>0.57188679456743219</v>
      </c>
      <c r="CJ54" s="36">
        <v>0</v>
      </c>
      <c r="CK54" s="36">
        <v>0.57188679456743219</v>
      </c>
      <c r="CL54" s="36"/>
      <c r="CM54" s="36">
        <v>0</v>
      </c>
      <c r="CN54" s="36"/>
      <c r="CO54" s="36">
        <v>0</v>
      </c>
      <c r="CP54" s="36">
        <v>0</v>
      </c>
      <c r="CQ54" s="36">
        <v>0</v>
      </c>
      <c r="CR54" s="36">
        <v>0</v>
      </c>
      <c r="CS54" s="36">
        <v>0</v>
      </c>
      <c r="CT54" s="36">
        <v>0</v>
      </c>
      <c r="CU54" s="36">
        <v>0</v>
      </c>
      <c r="CV54" s="36">
        <v>9999</v>
      </c>
      <c r="CW54" s="182">
        <v>9999</v>
      </c>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t="s">
        <v>361</v>
      </c>
      <c r="B55" s="9"/>
      <c r="C55" s="36">
        <v>20</v>
      </c>
      <c r="D55" s="36">
        <v>1064</v>
      </c>
      <c r="E55" s="36">
        <v>0</v>
      </c>
      <c r="F55" s="36">
        <v>8617.594254937163</v>
      </c>
      <c r="G55" s="36">
        <v>0</v>
      </c>
      <c r="H55" s="36">
        <v>651.58780396684574</v>
      </c>
      <c r="I55" s="36"/>
      <c r="J55" s="36"/>
      <c r="K55" s="36"/>
      <c r="L55" s="36">
        <v>1143.7735891348643</v>
      </c>
      <c r="M55" s="36">
        <v>0.19108761428992718</v>
      </c>
      <c r="N55" s="36">
        <v>0.18970842958199596</v>
      </c>
      <c r="O55" s="36">
        <v>0</v>
      </c>
      <c r="P55" s="36">
        <v>0</v>
      </c>
      <c r="Q55" s="36">
        <v>0</v>
      </c>
      <c r="R55" s="36">
        <v>1718.4634125860443</v>
      </c>
      <c r="S55" s="36">
        <v>3971.1075696767621</v>
      </c>
      <c r="T55" s="36">
        <v>0</v>
      </c>
      <c r="U55" s="36">
        <v>3070.5882715477414</v>
      </c>
      <c r="V55" s="36">
        <v>517.05565529622982</v>
      </c>
      <c r="W55" s="36">
        <v>1206.4631956912028</v>
      </c>
      <c r="X55" s="36">
        <v>0</v>
      </c>
      <c r="Y55" s="36">
        <v>0</v>
      </c>
      <c r="Z55" s="36">
        <v>0</v>
      </c>
      <c r="AA55" s="36">
        <v>0</v>
      </c>
      <c r="AB55" s="36">
        <v>0</v>
      </c>
      <c r="AC55" s="36">
        <v>0</v>
      </c>
      <c r="AD55" s="36">
        <v>0</v>
      </c>
      <c r="AE55" s="36">
        <v>0</v>
      </c>
      <c r="AF55" s="36">
        <v>0</v>
      </c>
      <c r="AG55" s="36">
        <v>651.58780396684574</v>
      </c>
      <c r="AH55" s="36">
        <v>2235.5190678822742</v>
      </c>
      <c r="AI55" s="36">
        <v>5177.5707653679647</v>
      </c>
      <c r="AJ55" s="36">
        <v>0</v>
      </c>
      <c r="AK55" s="36">
        <v>3722.176075514587</v>
      </c>
      <c r="AL55" s="36">
        <v>11135.265908764828</v>
      </c>
      <c r="AM55" s="36">
        <v>588.64143997475912</v>
      </c>
      <c r="AN55" s="36">
        <v>67.520519005716935</v>
      </c>
      <c r="AO55" s="36">
        <v>0</v>
      </c>
      <c r="AP55" s="36">
        <v>0</v>
      </c>
      <c r="AQ55" s="36">
        <v>656.16195898047602</v>
      </c>
      <c r="AR55" s="36">
        <v>2235.5190678822742</v>
      </c>
      <c r="AS55" s="162">
        <v>0.29351660131535523</v>
      </c>
      <c r="AT55" s="36">
        <v>588.64143997475912</v>
      </c>
      <c r="AU55" s="36">
        <v>79.924183520730054</v>
      </c>
      <c r="AV55" s="36">
        <v>0</v>
      </c>
      <c r="AW55" s="36">
        <v>0</v>
      </c>
      <c r="AX55" s="36">
        <v>668.56562349548915</v>
      </c>
      <c r="AY55" s="36">
        <v>5177.5707653679647</v>
      </c>
      <c r="AZ55" s="162">
        <v>0.12912727875540198</v>
      </c>
      <c r="BA55" s="36">
        <v>588.64143997475912</v>
      </c>
      <c r="BB55" s="36">
        <v>147.44470252644697</v>
      </c>
      <c r="BC55" s="36">
        <v>0</v>
      </c>
      <c r="BD55" s="36">
        <v>0</v>
      </c>
      <c r="BE55" s="36">
        <v>736.08614250120604</v>
      </c>
      <c r="BF55" s="36">
        <v>7413.0898332502393</v>
      </c>
      <c r="BG55" s="36">
        <v>467.41670822257299</v>
      </c>
      <c r="BH55" s="162">
        <v>9.9295456963115203E-2</v>
      </c>
      <c r="BI55" s="36">
        <v>143.81640516129008</v>
      </c>
      <c r="BJ55" s="36">
        <v>333.08578112411016</v>
      </c>
      <c r="BK55" s="36">
        <v>0</v>
      </c>
      <c r="BL55" s="36">
        <v>239.45668379602333</v>
      </c>
      <c r="BM55" s="36">
        <v>716.35887008142367</v>
      </c>
      <c r="BN55" s="36">
        <v>588.64143997475912</v>
      </c>
      <c r="BO55" s="36">
        <v>0</v>
      </c>
      <c r="BP55" s="36">
        <v>147.44470252644697</v>
      </c>
      <c r="BQ55" s="36">
        <v>0</v>
      </c>
      <c r="BR55" s="36">
        <v>0</v>
      </c>
      <c r="BS55" s="36">
        <v>0</v>
      </c>
      <c r="BT55" s="36">
        <v>0</v>
      </c>
      <c r="BU55" s="36">
        <v>0</v>
      </c>
      <c r="BV55" s="36">
        <v>0</v>
      </c>
      <c r="BW55" s="36">
        <v>0</v>
      </c>
      <c r="BX55" s="36">
        <v>8760.1592538105488</v>
      </c>
      <c r="BY55" s="36">
        <v>1723.5188509874326</v>
      </c>
      <c r="BZ55" s="36">
        <v>0</v>
      </c>
      <c r="CA55" s="36">
        <v>651.58780396684574</v>
      </c>
      <c r="CB55" s="36">
        <v>736.08614250120604</v>
      </c>
      <c r="CC55" s="36">
        <v>11135.265908764828</v>
      </c>
      <c r="CD55" s="162">
        <v>6.6104047135669697E-2</v>
      </c>
      <c r="CE55" s="36">
        <v>706.87339201859641</v>
      </c>
      <c r="CF55" s="36">
        <v>10.86592133474382</v>
      </c>
      <c r="CG55" s="36">
        <v>0</v>
      </c>
      <c r="CH55" s="36">
        <v>10.86592133474382</v>
      </c>
      <c r="CI55" s="36">
        <v>0.54329245483906052</v>
      </c>
      <c r="CJ55" s="36">
        <v>0</v>
      </c>
      <c r="CK55" s="36">
        <v>0.54329245483906052</v>
      </c>
      <c r="CL55" s="36"/>
      <c r="CM55" s="36">
        <v>0</v>
      </c>
      <c r="CN55" s="36"/>
      <c r="CO55" s="36">
        <v>0</v>
      </c>
      <c r="CP55" s="36">
        <v>0</v>
      </c>
      <c r="CQ55" s="36">
        <v>0</v>
      </c>
      <c r="CR55" s="36">
        <v>0</v>
      </c>
      <c r="CS55" s="36">
        <v>0</v>
      </c>
      <c r="CT55" s="36">
        <v>0</v>
      </c>
      <c r="CU55" s="36">
        <v>0</v>
      </c>
      <c r="CV55" s="36">
        <v>9999</v>
      </c>
      <c r="CW55" s="182">
        <v>9999</v>
      </c>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c r="B56" s="9"/>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c r="B57" s="9"/>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ht="13.5" thickBot="1">
      <c r="A58" s="34" t="s">
        <v>709</v>
      </c>
      <c r="B58" s="35"/>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ht="13.5" thickBot="1">
      <c r="A59" s="183" t="s">
        <v>710</v>
      </c>
      <c r="B59" s="184"/>
      <c r="C59" s="185"/>
      <c r="D59" s="185"/>
      <c r="E59" s="185"/>
      <c r="F59" s="185"/>
      <c r="G59" s="185"/>
      <c r="H59" s="185"/>
      <c r="I59" s="185"/>
      <c r="J59" s="185"/>
      <c r="K59" s="185"/>
      <c r="L59" s="40"/>
      <c r="M59" s="186"/>
      <c r="N59" s="187" t="s">
        <v>711</v>
      </c>
      <c r="O59" s="185"/>
      <c r="P59" s="185"/>
      <c r="Q59" s="185"/>
      <c r="R59" s="185"/>
      <c r="S59" s="185"/>
      <c r="T59" s="185"/>
      <c r="U59" s="185"/>
      <c r="V59" s="185"/>
      <c r="W59" s="185"/>
      <c r="X59" s="185"/>
      <c r="Y59" s="40"/>
      <c r="Z59" s="186"/>
      <c r="AA59" s="187" t="s">
        <v>712</v>
      </c>
      <c r="AB59" s="185"/>
      <c r="AC59" s="185"/>
      <c r="AD59" s="185"/>
      <c r="AE59" s="185"/>
      <c r="AF59" s="185"/>
      <c r="AG59" s="185"/>
      <c r="AH59" s="185"/>
      <c r="AI59" s="185"/>
      <c r="AJ59" s="185"/>
      <c r="AK59" s="185"/>
      <c r="AL59" s="40"/>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ht="191.25">
      <c r="A60" s="37"/>
      <c r="B60" s="38" t="s">
        <v>713</v>
      </c>
      <c r="C60" s="39" t="s">
        <v>714</v>
      </c>
      <c r="D60" s="39" t="s">
        <v>25</v>
      </c>
      <c r="E60" s="39" t="s">
        <v>26</v>
      </c>
      <c r="F60" s="39" t="s">
        <v>27</v>
      </c>
      <c r="G60" s="39" t="s">
        <v>28</v>
      </c>
      <c r="H60" s="39" t="s">
        <v>29</v>
      </c>
      <c r="I60" s="39" t="s">
        <v>30</v>
      </c>
      <c r="J60" s="39" t="s">
        <v>31</v>
      </c>
      <c r="K60" s="39" t="s">
        <v>24</v>
      </c>
      <c r="L60" s="39" t="s">
        <v>23</v>
      </c>
      <c r="M60" s="39" t="s">
        <v>32</v>
      </c>
      <c r="N60" s="39" t="s">
        <v>33</v>
      </c>
      <c r="O60" s="39" t="s">
        <v>34</v>
      </c>
      <c r="P60" s="39" t="s">
        <v>35</v>
      </c>
      <c r="Q60" s="39" t="s">
        <v>36</v>
      </c>
      <c r="R60" s="39" t="s">
        <v>37</v>
      </c>
      <c r="S60" s="39" t="s">
        <v>38</v>
      </c>
      <c r="T60" s="39" t="s">
        <v>39</v>
      </c>
      <c r="U60" s="39" t="s">
        <v>40</v>
      </c>
      <c r="V60" s="39" t="s">
        <v>41</v>
      </c>
      <c r="W60" s="39" t="s">
        <v>42</v>
      </c>
      <c r="X60" s="39" t="s">
        <v>43</v>
      </c>
      <c r="Y60" s="39" t="s">
        <v>44</v>
      </c>
      <c r="Z60" s="39"/>
      <c r="AA60" s="39" t="s">
        <v>33</v>
      </c>
      <c r="AB60" s="39" t="s">
        <v>34</v>
      </c>
      <c r="AC60" s="39" t="s">
        <v>35</v>
      </c>
      <c r="AD60" s="39" t="s">
        <v>36</v>
      </c>
      <c r="AE60" s="39" t="s">
        <v>37</v>
      </c>
      <c r="AF60" s="39" t="s">
        <v>38</v>
      </c>
      <c r="AG60" s="39" t="s">
        <v>39</v>
      </c>
      <c r="AH60" s="39" t="s">
        <v>40</v>
      </c>
      <c r="AI60" s="39" t="s">
        <v>41</v>
      </c>
      <c r="AJ60" s="39" t="s">
        <v>42</v>
      </c>
      <c r="AK60" s="39" t="s">
        <v>43</v>
      </c>
      <c r="AL60" s="39" t="s">
        <v>44</v>
      </c>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48" t="s">
        <v>715</v>
      </c>
      <c r="C61" s="188">
        <v>0</v>
      </c>
      <c r="D61" s="188">
        <v>0</v>
      </c>
      <c r="E61" s="188">
        <v>0</v>
      </c>
      <c r="F61" s="188">
        <v>0</v>
      </c>
      <c r="G61" s="188">
        <v>0</v>
      </c>
      <c r="H61" s="188">
        <v>0</v>
      </c>
      <c r="I61" s="188">
        <v>0</v>
      </c>
      <c r="J61" s="188">
        <v>0</v>
      </c>
      <c r="K61" s="188">
        <v>0</v>
      </c>
      <c r="L61" s="162">
        <v>0</v>
      </c>
      <c r="M61" s="189">
        <v>0</v>
      </c>
      <c r="N61" s="189">
        <v>0</v>
      </c>
      <c r="O61" s="189">
        <v>0</v>
      </c>
      <c r="P61" s="189">
        <v>0</v>
      </c>
      <c r="Q61" s="189">
        <v>0</v>
      </c>
      <c r="R61" s="189">
        <v>0</v>
      </c>
      <c r="S61" s="189">
        <v>0</v>
      </c>
      <c r="T61" s="189">
        <v>0</v>
      </c>
      <c r="U61" s="189">
        <v>0</v>
      </c>
      <c r="V61" s="189">
        <v>0</v>
      </c>
      <c r="W61" s="189">
        <v>0</v>
      </c>
      <c r="X61" s="189">
        <v>0</v>
      </c>
      <c r="Y61" s="189">
        <v>0</v>
      </c>
      <c r="Z61" s="189"/>
      <c r="AA61" s="189">
        <v>0</v>
      </c>
      <c r="AB61" s="189">
        <v>0</v>
      </c>
      <c r="AC61" s="189">
        <v>0</v>
      </c>
      <c r="AD61" s="189">
        <v>0</v>
      </c>
      <c r="AE61" s="189">
        <v>0</v>
      </c>
      <c r="AF61" s="189">
        <v>0</v>
      </c>
      <c r="AG61" s="189">
        <v>0</v>
      </c>
      <c r="AH61" s="189">
        <v>0</v>
      </c>
      <c r="AI61" s="189">
        <v>0</v>
      </c>
      <c r="AJ61" s="189">
        <v>0</v>
      </c>
      <c r="AK61" s="189">
        <v>0</v>
      </c>
      <c r="AL61" s="189">
        <v>0</v>
      </c>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c r="B62" s="48" t="s">
        <v>716</v>
      </c>
      <c r="C62" s="188">
        <v>0</v>
      </c>
      <c r="D62" s="188">
        <v>0</v>
      </c>
      <c r="E62" s="188">
        <v>0</v>
      </c>
      <c r="F62" s="188">
        <v>0</v>
      </c>
      <c r="G62" s="188">
        <v>0</v>
      </c>
      <c r="H62" s="188">
        <v>0</v>
      </c>
      <c r="I62" s="188">
        <v>0</v>
      </c>
      <c r="J62" s="188">
        <v>0</v>
      </c>
      <c r="K62" s="188">
        <v>0</v>
      </c>
      <c r="L62" s="162">
        <v>0</v>
      </c>
      <c r="M62" s="189">
        <v>0</v>
      </c>
      <c r="N62" s="189">
        <v>0</v>
      </c>
      <c r="O62" s="189">
        <v>0</v>
      </c>
      <c r="P62" s="189">
        <v>0</v>
      </c>
      <c r="Q62" s="189">
        <v>0</v>
      </c>
      <c r="R62" s="189">
        <v>0</v>
      </c>
      <c r="S62" s="189">
        <v>0</v>
      </c>
      <c r="T62" s="189">
        <v>0</v>
      </c>
      <c r="U62" s="189">
        <v>0</v>
      </c>
      <c r="V62" s="189">
        <v>0</v>
      </c>
      <c r="W62" s="189">
        <v>0</v>
      </c>
      <c r="X62" s="189">
        <v>0</v>
      </c>
      <c r="Y62" s="189">
        <v>0</v>
      </c>
      <c r="Z62" s="189"/>
      <c r="AA62" s="189">
        <v>0</v>
      </c>
      <c r="AB62" s="189">
        <v>0</v>
      </c>
      <c r="AC62" s="189">
        <v>0</v>
      </c>
      <c r="AD62" s="189">
        <v>0</v>
      </c>
      <c r="AE62" s="189">
        <v>0</v>
      </c>
      <c r="AF62" s="189">
        <v>0</v>
      </c>
      <c r="AG62" s="189">
        <v>0</v>
      </c>
      <c r="AH62" s="189">
        <v>0</v>
      </c>
      <c r="AI62" s="189">
        <v>0</v>
      </c>
      <c r="AJ62" s="189">
        <v>0</v>
      </c>
      <c r="AK62" s="189">
        <v>0</v>
      </c>
      <c r="AL62" s="189">
        <v>0</v>
      </c>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c r="B63" s="48" t="s">
        <v>717</v>
      </c>
      <c r="C63" s="188"/>
      <c r="D63" s="188"/>
      <c r="E63" s="188"/>
      <c r="F63" s="188"/>
      <c r="G63" s="188"/>
      <c r="H63" s="188"/>
      <c r="I63" s="188"/>
      <c r="J63" s="188"/>
      <c r="K63" s="188"/>
      <c r="L63" s="162"/>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c r="B64" s="9" t="s">
        <v>70</v>
      </c>
      <c r="C64" s="189">
        <v>0</v>
      </c>
      <c r="D64" s="189">
        <v>0</v>
      </c>
      <c r="E64" s="189">
        <v>0</v>
      </c>
      <c r="F64" s="189">
        <v>0</v>
      </c>
      <c r="G64" s="189">
        <v>0</v>
      </c>
      <c r="H64" s="189">
        <v>0</v>
      </c>
      <c r="I64" s="189">
        <v>0</v>
      </c>
      <c r="J64" s="189">
        <v>0</v>
      </c>
      <c r="K64" s="189">
        <v>0</v>
      </c>
      <c r="L64" s="162">
        <v>0</v>
      </c>
      <c r="M64" s="189">
        <v>0</v>
      </c>
      <c r="N64" s="189">
        <v>0</v>
      </c>
      <c r="O64" s="189">
        <v>0</v>
      </c>
      <c r="P64" s="189">
        <v>0</v>
      </c>
      <c r="Q64" s="189">
        <v>0</v>
      </c>
      <c r="R64" s="189">
        <v>0</v>
      </c>
      <c r="S64" s="189">
        <v>0</v>
      </c>
      <c r="T64" s="189">
        <v>0</v>
      </c>
      <c r="U64" s="189">
        <v>0</v>
      </c>
      <c r="V64" s="189">
        <v>0</v>
      </c>
      <c r="W64" s="189">
        <v>0</v>
      </c>
      <c r="X64" s="189">
        <v>0</v>
      </c>
      <c r="Y64" s="189">
        <v>0</v>
      </c>
      <c r="Z64" s="189"/>
      <c r="AA64" s="189">
        <v>0</v>
      </c>
      <c r="AB64" s="189">
        <v>0</v>
      </c>
      <c r="AC64" s="189">
        <v>0</v>
      </c>
      <c r="AD64" s="189">
        <v>0</v>
      </c>
      <c r="AE64" s="189">
        <v>0</v>
      </c>
      <c r="AF64" s="189">
        <v>0</v>
      </c>
      <c r="AG64" s="189">
        <v>0</v>
      </c>
      <c r="AH64" s="189">
        <v>0</v>
      </c>
      <c r="AI64" s="189">
        <v>0</v>
      </c>
      <c r="AJ64" s="189">
        <v>0</v>
      </c>
      <c r="AK64" s="189">
        <v>0</v>
      </c>
      <c r="AL64" s="189">
        <v>0</v>
      </c>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c r="B65" s="9" t="s">
        <v>718</v>
      </c>
      <c r="C65" s="189">
        <v>0</v>
      </c>
      <c r="D65" s="189">
        <v>0</v>
      </c>
      <c r="E65" s="189">
        <v>0</v>
      </c>
      <c r="F65" s="189">
        <v>0</v>
      </c>
      <c r="G65" s="189">
        <v>0</v>
      </c>
      <c r="H65" s="189">
        <v>0</v>
      </c>
      <c r="I65" s="189">
        <v>0</v>
      </c>
      <c r="J65" s="189">
        <v>0</v>
      </c>
      <c r="K65" s="189">
        <v>0</v>
      </c>
      <c r="L65" s="190">
        <v>0</v>
      </c>
      <c r="M65" s="189">
        <v>0</v>
      </c>
      <c r="N65" s="189">
        <v>0</v>
      </c>
      <c r="O65" s="189">
        <v>0</v>
      </c>
      <c r="P65" s="189">
        <v>0</v>
      </c>
      <c r="Q65" s="189">
        <v>0</v>
      </c>
      <c r="R65" s="189">
        <v>0</v>
      </c>
      <c r="S65" s="189">
        <v>0</v>
      </c>
      <c r="T65" s="189">
        <v>0</v>
      </c>
      <c r="U65" s="189">
        <v>0</v>
      </c>
      <c r="V65" s="189">
        <v>0</v>
      </c>
      <c r="W65" s="189">
        <v>0</v>
      </c>
      <c r="X65" s="189">
        <v>0</v>
      </c>
      <c r="Y65" s="189">
        <v>0</v>
      </c>
      <c r="Z65" s="189"/>
      <c r="AA65" s="189">
        <v>0</v>
      </c>
      <c r="AB65" s="189">
        <v>0</v>
      </c>
      <c r="AC65" s="189">
        <v>0</v>
      </c>
      <c r="AD65" s="189">
        <v>0</v>
      </c>
      <c r="AE65" s="189">
        <v>0</v>
      </c>
      <c r="AF65" s="189">
        <v>0</v>
      </c>
      <c r="AG65" s="189">
        <v>0</v>
      </c>
      <c r="AH65" s="189">
        <v>0</v>
      </c>
      <c r="AI65" s="189">
        <v>0</v>
      </c>
      <c r="AJ65" s="189">
        <v>0</v>
      </c>
      <c r="AK65" s="189">
        <v>0</v>
      </c>
      <c r="AL65" s="189">
        <v>0</v>
      </c>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c r="B66" s="9" t="s">
        <v>75</v>
      </c>
      <c r="C66" s="189">
        <v>0</v>
      </c>
      <c r="D66" s="189">
        <v>0</v>
      </c>
      <c r="E66" s="189">
        <v>0</v>
      </c>
      <c r="F66" s="189">
        <v>0</v>
      </c>
      <c r="G66" s="189">
        <v>0</v>
      </c>
      <c r="H66" s="189">
        <v>0</v>
      </c>
      <c r="I66" s="189">
        <v>0</v>
      </c>
      <c r="J66" s="189">
        <v>0</v>
      </c>
      <c r="K66" s="189">
        <v>0</v>
      </c>
      <c r="L66" s="190">
        <v>0</v>
      </c>
      <c r="M66" s="189">
        <v>0</v>
      </c>
      <c r="N66" s="189">
        <v>0</v>
      </c>
      <c r="O66" s="189">
        <v>0</v>
      </c>
      <c r="P66" s="189">
        <v>0</v>
      </c>
      <c r="Q66" s="189">
        <v>0</v>
      </c>
      <c r="R66" s="189">
        <v>0</v>
      </c>
      <c r="S66" s="189">
        <v>0</v>
      </c>
      <c r="T66" s="189">
        <v>0</v>
      </c>
      <c r="U66" s="189">
        <v>0</v>
      </c>
      <c r="V66" s="189">
        <v>0</v>
      </c>
      <c r="W66" s="189">
        <v>0</v>
      </c>
      <c r="X66" s="189">
        <v>0</v>
      </c>
      <c r="Y66" s="189">
        <v>0</v>
      </c>
      <c r="Z66" s="189"/>
      <c r="AA66" s="189">
        <v>0</v>
      </c>
      <c r="AB66" s="189">
        <v>0</v>
      </c>
      <c r="AC66" s="189">
        <v>0</v>
      </c>
      <c r="AD66" s="189">
        <v>0</v>
      </c>
      <c r="AE66" s="189">
        <v>0</v>
      </c>
      <c r="AF66" s="189">
        <v>0</v>
      </c>
      <c r="AG66" s="189">
        <v>0</v>
      </c>
      <c r="AH66" s="189">
        <v>0</v>
      </c>
      <c r="AI66" s="189">
        <v>0</v>
      </c>
      <c r="AJ66" s="189">
        <v>0</v>
      </c>
      <c r="AK66" s="189">
        <v>0</v>
      </c>
      <c r="AL66" s="189">
        <v>0</v>
      </c>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c r="B67" s="9" t="s">
        <v>78</v>
      </c>
      <c r="C67" s="189">
        <v>0</v>
      </c>
      <c r="D67" s="189">
        <v>0</v>
      </c>
      <c r="E67" s="189">
        <v>0</v>
      </c>
      <c r="F67" s="189">
        <v>0</v>
      </c>
      <c r="G67" s="189">
        <v>0</v>
      </c>
      <c r="H67" s="189">
        <v>0</v>
      </c>
      <c r="I67" s="189">
        <v>0</v>
      </c>
      <c r="J67" s="189">
        <v>0</v>
      </c>
      <c r="K67" s="189">
        <v>0</v>
      </c>
      <c r="L67" s="190">
        <v>0</v>
      </c>
      <c r="M67" s="189">
        <v>0</v>
      </c>
      <c r="N67" s="189">
        <v>0</v>
      </c>
      <c r="O67" s="189">
        <v>0</v>
      </c>
      <c r="P67" s="189">
        <v>0</v>
      </c>
      <c r="Q67" s="189">
        <v>0</v>
      </c>
      <c r="R67" s="189">
        <v>0</v>
      </c>
      <c r="S67" s="189">
        <v>0</v>
      </c>
      <c r="T67" s="189">
        <v>0</v>
      </c>
      <c r="U67" s="189">
        <v>0</v>
      </c>
      <c r="V67" s="189">
        <v>0</v>
      </c>
      <c r="W67" s="189">
        <v>0</v>
      </c>
      <c r="X67" s="189">
        <v>0</v>
      </c>
      <c r="Y67" s="189">
        <v>0</v>
      </c>
      <c r="Z67" s="189"/>
      <c r="AA67" s="189">
        <v>0</v>
      </c>
      <c r="AB67" s="189">
        <v>0</v>
      </c>
      <c r="AC67" s="189">
        <v>0</v>
      </c>
      <c r="AD67" s="189">
        <v>0</v>
      </c>
      <c r="AE67" s="189">
        <v>0</v>
      </c>
      <c r="AF67" s="189">
        <v>0</v>
      </c>
      <c r="AG67" s="189">
        <v>0</v>
      </c>
      <c r="AH67" s="189">
        <v>0</v>
      </c>
      <c r="AI67" s="189">
        <v>0</v>
      </c>
      <c r="AJ67" s="189">
        <v>0</v>
      </c>
      <c r="AK67" s="189">
        <v>0</v>
      </c>
      <c r="AL67" s="189">
        <v>0</v>
      </c>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c r="B68" s="9" t="s">
        <v>81</v>
      </c>
      <c r="C68" s="189">
        <v>0</v>
      </c>
      <c r="D68" s="189">
        <v>0</v>
      </c>
      <c r="E68" s="189">
        <v>0</v>
      </c>
      <c r="F68" s="189">
        <v>0</v>
      </c>
      <c r="G68" s="189">
        <v>0</v>
      </c>
      <c r="H68" s="189">
        <v>0</v>
      </c>
      <c r="I68" s="189">
        <v>0</v>
      </c>
      <c r="J68" s="189">
        <v>0</v>
      </c>
      <c r="K68" s="189">
        <v>0</v>
      </c>
      <c r="L68" s="190">
        <v>0</v>
      </c>
      <c r="M68" s="189">
        <v>0</v>
      </c>
      <c r="N68" s="189">
        <v>0</v>
      </c>
      <c r="O68" s="189">
        <v>0</v>
      </c>
      <c r="P68" s="189">
        <v>0</v>
      </c>
      <c r="Q68" s="189">
        <v>0</v>
      </c>
      <c r="R68" s="189">
        <v>0</v>
      </c>
      <c r="S68" s="189">
        <v>0</v>
      </c>
      <c r="T68" s="189">
        <v>0</v>
      </c>
      <c r="U68" s="189">
        <v>0</v>
      </c>
      <c r="V68" s="189">
        <v>0</v>
      </c>
      <c r="W68" s="189">
        <v>0</v>
      </c>
      <c r="X68" s="189">
        <v>0</v>
      </c>
      <c r="Y68" s="189">
        <v>0</v>
      </c>
      <c r="Z68" s="189"/>
      <c r="AA68" s="189">
        <v>0</v>
      </c>
      <c r="AB68" s="189">
        <v>0</v>
      </c>
      <c r="AC68" s="189">
        <v>0</v>
      </c>
      <c r="AD68" s="189">
        <v>0</v>
      </c>
      <c r="AE68" s="189">
        <v>0</v>
      </c>
      <c r="AF68" s="189">
        <v>0</v>
      </c>
      <c r="AG68" s="189">
        <v>0</v>
      </c>
      <c r="AH68" s="189">
        <v>0</v>
      </c>
      <c r="AI68" s="189">
        <v>0</v>
      </c>
      <c r="AJ68" s="189">
        <v>0</v>
      </c>
      <c r="AK68" s="189">
        <v>0</v>
      </c>
      <c r="AL68" s="189">
        <v>0</v>
      </c>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t="s">
        <v>84</v>
      </c>
      <c r="C69" s="189">
        <v>0</v>
      </c>
      <c r="D69" s="189">
        <v>0</v>
      </c>
      <c r="E69" s="189">
        <v>0</v>
      </c>
      <c r="F69" s="189">
        <v>0</v>
      </c>
      <c r="G69" s="189">
        <v>0</v>
      </c>
      <c r="H69" s="189">
        <v>0</v>
      </c>
      <c r="I69" s="189">
        <v>0</v>
      </c>
      <c r="J69" s="189">
        <v>0</v>
      </c>
      <c r="K69" s="189">
        <v>0</v>
      </c>
      <c r="L69" s="190">
        <v>0</v>
      </c>
      <c r="M69" s="189">
        <v>0</v>
      </c>
      <c r="N69" s="189">
        <v>0</v>
      </c>
      <c r="O69" s="189">
        <v>0</v>
      </c>
      <c r="P69" s="189">
        <v>0</v>
      </c>
      <c r="Q69" s="189">
        <v>0</v>
      </c>
      <c r="R69" s="189">
        <v>0</v>
      </c>
      <c r="S69" s="189">
        <v>0</v>
      </c>
      <c r="T69" s="189">
        <v>0</v>
      </c>
      <c r="U69" s="189">
        <v>0</v>
      </c>
      <c r="V69" s="189">
        <v>0</v>
      </c>
      <c r="W69" s="189">
        <v>0</v>
      </c>
      <c r="X69" s="189">
        <v>0</v>
      </c>
      <c r="Y69" s="189">
        <v>0</v>
      </c>
      <c r="Z69" s="189"/>
      <c r="AA69" s="189">
        <v>0</v>
      </c>
      <c r="AB69" s="189">
        <v>0</v>
      </c>
      <c r="AC69" s="189">
        <v>0</v>
      </c>
      <c r="AD69" s="189">
        <v>0</v>
      </c>
      <c r="AE69" s="189">
        <v>0</v>
      </c>
      <c r="AF69" s="189">
        <v>0</v>
      </c>
      <c r="AG69" s="189">
        <v>0</v>
      </c>
      <c r="AH69" s="189">
        <v>0</v>
      </c>
      <c r="AI69" s="189">
        <v>0</v>
      </c>
      <c r="AJ69" s="189">
        <v>0</v>
      </c>
      <c r="AK69" s="189">
        <v>0</v>
      </c>
      <c r="AL69" s="189">
        <v>0</v>
      </c>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t="s">
        <v>87</v>
      </c>
      <c r="C70" s="189">
        <v>0</v>
      </c>
      <c r="D70" s="189">
        <v>0</v>
      </c>
      <c r="E70" s="189">
        <v>0</v>
      </c>
      <c r="F70" s="189">
        <v>0</v>
      </c>
      <c r="G70" s="189">
        <v>0</v>
      </c>
      <c r="H70" s="189">
        <v>0</v>
      </c>
      <c r="I70" s="189">
        <v>0</v>
      </c>
      <c r="J70" s="189">
        <v>0</v>
      </c>
      <c r="K70" s="189">
        <v>0</v>
      </c>
      <c r="L70" s="190">
        <v>0</v>
      </c>
      <c r="M70" s="189">
        <v>0</v>
      </c>
      <c r="N70" s="189">
        <v>0</v>
      </c>
      <c r="O70" s="189">
        <v>0</v>
      </c>
      <c r="P70" s="189">
        <v>0</v>
      </c>
      <c r="Q70" s="189">
        <v>0</v>
      </c>
      <c r="R70" s="189">
        <v>0</v>
      </c>
      <c r="S70" s="189">
        <v>0</v>
      </c>
      <c r="T70" s="189">
        <v>0</v>
      </c>
      <c r="U70" s="189">
        <v>0</v>
      </c>
      <c r="V70" s="189">
        <v>0</v>
      </c>
      <c r="W70" s="189">
        <v>0</v>
      </c>
      <c r="X70" s="189">
        <v>0</v>
      </c>
      <c r="Y70" s="189">
        <v>0</v>
      </c>
      <c r="Z70" s="189"/>
      <c r="AA70" s="189">
        <v>0</v>
      </c>
      <c r="AB70" s="189">
        <v>0</v>
      </c>
      <c r="AC70" s="189">
        <v>0</v>
      </c>
      <c r="AD70" s="189">
        <v>0</v>
      </c>
      <c r="AE70" s="189">
        <v>0</v>
      </c>
      <c r="AF70" s="189">
        <v>0</v>
      </c>
      <c r="AG70" s="189">
        <v>0</v>
      </c>
      <c r="AH70" s="189">
        <v>0</v>
      </c>
      <c r="AI70" s="189">
        <v>0</v>
      </c>
      <c r="AJ70" s="189">
        <v>0</v>
      </c>
      <c r="AK70" s="189">
        <v>0</v>
      </c>
      <c r="AL70" s="189">
        <v>0</v>
      </c>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c r="B71" s="9" t="s">
        <v>90</v>
      </c>
      <c r="C71" s="189">
        <v>0</v>
      </c>
      <c r="D71" s="189">
        <v>0</v>
      </c>
      <c r="E71" s="189">
        <v>0</v>
      </c>
      <c r="F71" s="189">
        <v>0</v>
      </c>
      <c r="G71" s="189">
        <v>0</v>
      </c>
      <c r="H71" s="189">
        <v>0</v>
      </c>
      <c r="I71" s="189">
        <v>0</v>
      </c>
      <c r="J71" s="189">
        <v>0</v>
      </c>
      <c r="K71" s="189">
        <v>0</v>
      </c>
      <c r="L71" s="190">
        <v>0</v>
      </c>
      <c r="M71" s="189">
        <v>0</v>
      </c>
      <c r="N71" s="189">
        <v>0</v>
      </c>
      <c r="O71" s="189">
        <v>0</v>
      </c>
      <c r="P71" s="189">
        <v>0</v>
      </c>
      <c r="Q71" s="189">
        <v>0</v>
      </c>
      <c r="R71" s="189">
        <v>0</v>
      </c>
      <c r="S71" s="189">
        <v>0</v>
      </c>
      <c r="T71" s="189">
        <v>0</v>
      </c>
      <c r="U71" s="189">
        <v>0</v>
      </c>
      <c r="V71" s="189">
        <v>0</v>
      </c>
      <c r="W71" s="189">
        <v>0</v>
      </c>
      <c r="X71" s="189">
        <v>0</v>
      </c>
      <c r="Y71" s="189">
        <v>0</v>
      </c>
      <c r="Z71" s="189"/>
      <c r="AA71" s="189">
        <v>0</v>
      </c>
      <c r="AB71" s="189">
        <v>0</v>
      </c>
      <c r="AC71" s="189">
        <v>0</v>
      </c>
      <c r="AD71" s="189">
        <v>0</v>
      </c>
      <c r="AE71" s="189">
        <v>0</v>
      </c>
      <c r="AF71" s="189">
        <v>0</v>
      </c>
      <c r="AG71" s="189">
        <v>0</v>
      </c>
      <c r="AH71" s="189">
        <v>0</v>
      </c>
      <c r="AI71" s="189">
        <v>0</v>
      </c>
      <c r="AJ71" s="189">
        <v>0</v>
      </c>
      <c r="AK71" s="189">
        <v>0</v>
      </c>
      <c r="AL71" s="189">
        <v>0</v>
      </c>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t="s">
        <v>93</v>
      </c>
      <c r="C72" s="189">
        <v>0</v>
      </c>
      <c r="D72" s="189">
        <v>0</v>
      </c>
      <c r="E72" s="189">
        <v>0</v>
      </c>
      <c r="F72" s="189">
        <v>0</v>
      </c>
      <c r="G72" s="189">
        <v>0</v>
      </c>
      <c r="H72" s="189">
        <v>0</v>
      </c>
      <c r="I72" s="189">
        <v>0</v>
      </c>
      <c r="J72" s="189">
        <v>0</v>
      </c>
      <c r="K72" s="189">
        <v>0</v>
      </c>
      <c r="L72" s="190">
        <v>0</v>
      </c>
      <c r="M72" s="189">
        <v>0</v>
      </c>
      <c r="N72" s="189">
        <v>0</v>
      </c>
      <c r="O72" s="189">
        <v>0</v>
      </c>
      <c r="P72" s="189">
        <v>0</v>
      </c>
      <c r="Q72" s="189">
        <v>0</v>
      </c>
      <c r="R72" s="189">
        <v>0</v>
      </c>
      <c r="S72" s="189">
        <v>0</v>
      </c>
      <c r="T72" s="189">
        <v>0</v>
      </c>
      <c r="U72" s="189">
        <v>0</v>
      </c>
      <c r="V72" s="189">
        <v>0</v>
      </c>
      <c r="W72" s="189">
        <v>0</v>
      </c>
      <c r="X72" s="189">
        <v>0</v>
      </c>
      <c r="Y72" s="189">
        <v>0</v>
      </c>
      <c r="Z72" s="189"/>
      <c r="AA72" s="189">
        <v>0</v>
      </c>
      <c r="AB72" s="189">
        <v>0</v>
      </c>
      <c r="AC72" s="189">
        <v>0</v>
      </c>
      <c r="AD72" s="189">
        <v>0</v>
      </c>
      <c r="AE72" s="189">
        <v>0</v>
      </c>
      <c r="AF72" s="189">
        <v>0</v>
      </c>
      <c r="AG72" s="189">
        <v>0</v>
      </c>
      <c r="AH72" s="189">
        <v>0</v>
      </c>
      <c r="AI72" s="189">
        <v>0</v>
      </c>
      <c r="AJ72" s="189">
        <v>0</v>
      </c>
      <c r="AK72" s="189">
        <v>0</v>
      </c>
      <c r="AL72" s="189">
        <v>0</v>
      </c>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t="s">
        <v>96</v>
      </c>
      <c r="C73" s="189">
        <v>0</v>
      </c>
      <c r="D73" s="189">
        <v>0</v>
      </c>
      <c r="E73" s="189">
        <v>0</v>
      </c>
      <c r="F73" s="189">
        <v>0</v>
      </c>
      <c r="G73" s="189">
        <v>0</v>
      </c>
      <c r="H73" s="189">
        <v>0</v>
      </c>
      <c r="I73" s="189">
        <v>0</v>
      </c>
      <c r="J73" s="189">
        <v>0</v>
      </c>
      <c r="K73" s="189">
        <v>0</v>
      </c>
      <c r="L73" s="190">
        <v>0</v>
      </c>
      <c r="M73" s="189">
        <v>0</v>
      </c>
      <c r="N73" s="189">
        <v>0</v>
      </c>
      <c r="O73" s="189">
        <v>0</v>
      </c>
      <c r="P73" s="189">
        <v>0</v>
      </c>
      <c r="Q73" s="189">
        <v>0</v>
      </c>
      <c r="R73" s="189">
        <v>0</v>
      </c>
      <c r="S73" s="189">
        <v>0</v>
      </c>
      <c r="T73" s="189">
        <v>0</v>
      </c>
      <c r="U73" s="189">
        <v>0</v>
      </c>
      <c r="V73" s="189">
        <v>0</v>
      </c>
      <c r="W73" s="189">
        <v>0</v>
      </c>
      <c r="X73" s="189">
        <v>0</v>
      </c>
      <c r="Y73" s="189">
        <v>0</v>
      </c>
      <c r="Z73" s="189"/>
      <c r="AA73" s="189">
        <v>0</v>
      </c>
      <c r="AB73" s="189">
        <v>0</v>
      </c>
      <c r="AC73" s="189">
        <v>0</v>
      </c>
      <c r="AD73" s="189">
        <v>0</v>
      </c>
      <c r="AE73" s="189">
        <v>0</v>
      </c>
      <c r="AF73" s="189">
        <v>0</v>
      </c>
      <c r="AG73" s="189">
        <v>0</v>
      </c>
      <c r="AH73" s="189">
        <v>0</v>
      </c>
      <c r="AI73" s="189">
        <v>0</v>
      </c>
      <c r="AJ73" s="189">
        <v>0</v>
      </c>
      <c r="AK73" s="189">
        <v>0</v>
      </c>
      <c r="AL73" s="189">
        <v>0</v>
      </c>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9" t="s">
        <v>99</v>
      </c>
      <c r="C74" s="189">
        <v>0</v>
      </c>
      <c r="D74" s="189">
        <v>0</v>
      </c>
      <c r="E74" s="189">
        <v>0</v>
      </c>
      <c r="F74" s="189">
        <v>0</v>
      </c>
      <c r="G74" s="189">
        <v>0</v>
      </c>
      <c r="H74" s="189">
        <v>0</v>
      </c>
      <c r="I74" s="189">
        <v>0</v>
      </c>
      <c r="J74" s="189">
        <v>0</v>
      </c>
      <c r="K74" s="189">
        <v>0</v>
      </c>
      <c r="L74" s="190">
        <v>0</v>
      </c>
      <c r="M74" s="189">
        <v>0</v>
      </c>
      <c r="N74" s="189">
        <v>0</v>
      </c>
      <c r="O74" s="189">
        <v>0</v>
      </c>
      <c r="P74" s="189">
        <v>0</v>
      </c>
      <c r="Q74" s="189">
        <v>0</v>
      </c>
      <c r="R74" s="189">
        <v>0</v>
      </c>
      <c r="S74" s="189">
        <v>0</v>
      </c>
      <c r="T74" s="189">
        <v>0</v>
      </c>
      <c r="U74" s="189">
        <v>0</v>
      </c>
      <c r="V74" s="189">
        <v>0</v>
      </c>
      <c r="W74" s="189">
        <v>0</v>
      </c>
      <c r="X74" s="189">
        <v>0</v>
      </c>
      <c r="Y74" s="189">
        <v>0</v>
      </c>
      <c r="Z74" s="189"/>
      <c r="AA74" s="189">
        <v>0</v>
      </c>
      <c r="AB74" s="189">
        <v>0</v>
      </c>
      <c r="AC74" s="189">
        <v>0</v>
      </c>
      <c r="AD74" s="189">
        <v>0</v>
      </c>
      <c r="AE74" s="189">
        <v>0</v>
      </c>
      <c r="AF74" s="189">
        <v>0</v>
      </c>
      <c r="AG74" s="189">
        <v>0</v>
      </c>
      <c r="AH74" s="189">
        <v>0</v>
      </c>
      <c r="AI74" s="189">
        <v>0</v>
      </c>
      <c r="AJ74" s="189">
        <v>0</v>
      </c>
      <c r="AK74" s="189">
        <v>0</v>
      </c>
      <c r="AL74" s="189">
        <v>0</v>
      </c>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9" t="s">
        <v>102</v>
      </c>
      <c r="C75" s="189">
        <v>0</v>
      </c>
      <c r="D75" s="189">
        <v>0</v>
      </c>
      <c r="E75" s="189">
        <v>0</v>
      </c>
      <c r="F75" s="189">
        <v>0</v>
      </c>
      <c r="G75" s="189">
        <v>0</v>
      </c>
      <c r="H75" s="189">
        <v>0</v>
      </c>
      <c r="I75" s="189">
        <v>0</v>
      </c>
      <c r="J75" s="189">
        <v>0</v>
      </c>
      <c r="K75" s="189">
        <v>0</v>
      </c>
      <c r="L75" s="190">
        <v>0</v>
      </c>
      <c r="M75" s="189">
        <v>0</v>
      </c>
      <c r="N75" s="189">
        <v>0</v>
      </c>
      <c r="O75" s="189">
        <v>0</v>
      </c>
      <c r="P75" s="189">
        <v>0</v>
      </c>
      <c r="Q75" s="189">
        <v>0</v>
      </c>
      <c r="R75" s="189">
        <v>0</v>
      </c>
      <c r="S75" s="189">
        <v>0</v>
      </c>
      <c r="T75" s="189">
        <v>0</v>
      </c>
      <c r="U75" s="189">
        <v>0</v>
      </c>
      <c r="V75" s="189">
        <v>0</v>
      </c>
      <c r="W75" s="189">
        <v>0</v>
      </c>
      <c r="X75" s="189">
        <v>0</v>
      </c>
      <c r="Y75" s="189">
        <v>0</v>
      </c>
      <c r="Z75" s="189"/>
      <c r="AA75" s="189">
        <v>0</v>
      </c>
      <c r="AB75" s="189">
        <v>0</v>
      </c>
      <c r="AC75" s="189">
        <v>0</v>
      </c>
      <c r="AD75" s="189">
        <v>0</v>
      </c>
      <c r="AE75" s="189">
        <v>0</v>
      </c>
      <c r="AF75" s="189">
        <v>0</v>
      </c>
      <c r="AG75" s="189">
        <v>0</v>
      </c>
      <c r="AH75" s="189">
        <v>0</v>
      </c>
      <c r="AI75" s="189">
        <v>0</v>
      </c>
      <c r="AJ75" s="189">
        <v>0</v>
      </c>
      <c r="AK75" s="189">
        <v>0</v>
      </c>
      <c r="AL75" s="189">
        <v>0</v>
      </c>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9" t="s">
        <v>105</v>
      </c>
      <c r="C76" s="189">
        <v>0</v>
      </c>
      <c r="D76" s="189">
        <v>0</v>
      </c>
      <c r="E76" s="189">
        <v>0</v>
      </c>
      <c r="F76" s="189">
        <v>0</v>
      </c>
      <c r="G76" s="189">
        <v>0</v>
      </c>
      <c r="H76" s="189">
        <v>0</v>
      </c>
      <c r="I76" s="189">
        <v>0</v>
      </c>
      <c r="J76" s="189">
        <v>0</v>
      </c>
      <c r="K76" s="189">
        <v>0</v>
      </c>
      <c r="L76" s="190">
        <v>0</v>
      </c>
      <c r="M76" s="189">
        <v>0</v>
      </c>
      <c r="N76" s="189">
        <v>0</v>
      </c>
      <c r="O76" s="189">
        <v>0</v>
      </c>
      <c r="P76" s="189">
        <v>0</v>
      </c>
      <c r="Q76" s="189">
        <v>0</v>
      </c>
      <c r="R76" s="189">
        <v>0</v>
      </c>
      <c r="S76" s="189">
        <v>0</v>
      </c>
      <c r="T76" s="189">
        <v>0</v>
      </c>
      <c r="U76" s="189">
        <v>0</v>
      </c>
      <c r="V76" s="189">
        <v>0</v>
      </c>
      <c r="W76" s="189">
        <v>0</v>
      </c>
      <c r="X76" s="189">
        <v>0</v>
      </c>
      <c r="Y76" s="189">
        <v>0</v>
      </c>
      <c r="Z76" s="189"/>
      <c r="AA76" s="189">
        <v>0</v>
      </c>
      <c r="AB76" s="189">
        <v>0</v>
      </c>
      <c r="AC76" s="189">
        <v>0</v>
      </c>
      <c r="AD76" s="189">
        <v>0</v>
      </c>
      <c r="AE76" s="189">
        <v>0</v>
      </c>
      <c r="AF76" s="189">
        <v>0</v>
      </c>
      <c r="AG76" s="189">
        <v>0</v>
      </c>
      <c r="AH76" s="189">
        <v>0</v>
      </c>
      <c r="AI76" s="189">
        <v>0</v>
      </c>
      <c r="AJ76" s="189">
        <v>0</v>
      </c>
      <c r="AK76" s="189">
        <v>0</v>
      </c>
      <c r="AL76" s="189">
        <v>0</v>
      </c>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108</v>
      </c>
      <c r="C77" s="189">
        <v>0</v>
      </c>
      <c r="D77" s="189">
        <v>0</v>
      </c>
      <c r="E77" s="189">
        <v>0</v>
      </c>
      <c r="F77" s="189">
        <v>0</v>
      </c>
      <c r="G77" s="189">
        <v>0</v>
      </c>
      <c r="H77" s="189">
        <v>0</v>
      </c>
      <c r="I77" s="189">
        <v>0</v>
      </c>
      <c r="J77" s="189">
        <v>0</v>
      </c>
      <c r="K77" s="189">
        <v>0</v>
      </c>
      <c r="L77" s="190">
        <v>0</v>
      </c>
      <c r="M77" s="189">
        <v>0</v>
      </c>
      <c r="N77" s="189">
        <v>0</v>
      </c>
      <c r="O77" s="189">
        <v>0</v>
      </c>
      <c r="P77" s="189">
        <v>0</v>
      </c>
      <c r="Q77" s="189">
        <v>0</v>
      </c>
      <c r="R77" s="189">
        <v>0</v>
      </c>
      <c r="S77" s="189">
        <v>0</v>
      </c>
      <c r="T77" s="189">
        <v>0</v>
      </c>
      <c r="U77" s="189">
        <v>0</v>
      </c>
      <c r="V77" s="189">
        <v>0</v>
      </c>
      <c r="W77" s="189">
        <v>0</v>
      </c>
      <c r="X77" s="189">
        <v>0</v>
      </c>
      <c r="Y77" s="189">
        <v>0</v>
      </c>
      <c r="Z77" s="189"/>
      <c r="AA77" s="189">
        <v>0</v>
      </c>
      <c r="AB77" s="189">
        <v>0</v>
      </c>
      <c r="AC77" s="189">
        <v>0</v>
      </c>
      <c r="AD77" s="189">
        <v>0</v>
      </c>
      <c r="AE77" s="189">
        <v>0</v>
      </c>
      <c r="AF77" s="189">
        <v>0</v>
      </c>
      <c r="AG77" s="189">
        <v>0</v>
      </c>
      <c r="AH77" s="189">
        <v>0</v>
      </c>
      <c r="AI77" s="189">
        <v>0</v>
      </c>
      <c r="AJ77" s="189">
        <v>0</v>
      </c>
      <c r="AK77" s="189">
        <v>0</v>
      </c>
      <c r="AL77" s="189">
        <v>0</v>
      </c>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111</v>
      </c>
      <c r="C78" s="189">
        <v>0</v>
      </c>
      <c r="D78" s="189">
        <v>0</v>
      </c>
      <c r="E78" s="189">
        <v>0</v>
      </c>
      <c r="F78" s="189">
        <v>0</v>
      </c>
      <c r="G78" s="189">
        <v>0</v>
      </c>
      <c r="H78" s="189">
        <v>0</v>
      </c>
      <c r="I78" s="189">
        <v>0</v>
      </c>
      <c r="J78" s="189">
        <v>0</v>
      </c>
      <c r="K78" s="189">
        <v>0</v>
      </c>
      <c r="L78" s="190">
        <v>0</v>
      </c>
      <c r="M78" s="189">
        <v>0</v>
      </c>
      <c r="N78" s="189">
        <v>0</v>
      </c>
      <c r="O78" s="189">
        <v>0</v>
      </c>
      <c r="P78" s="189">
        <v>0</v>
      </c>
      <c r="Q78" s="189">
        <v>0</v>
      </c>
      <c r="R78" s="189">
        <v>0</v>
      </c>
      <c r="S78" s="189">
        <v>0</v>
      </c>
      <c r="T78" s="189">
        <v>0</v>
      </c>
      <c r="U78" s="189">
        <v>0</v>
      </c>
      <c r="V78" s="189">
        <v>0</v>
      </c>
      <c r="W78" s="189">
        <v>0</v>
      </c>
      <c r="X78" s="189">
        <v>0</v>
      </c>
      <c r="Y78" s="189">
        <v>0</v>
      </c>
      <c r="Z78" s="189"/>
      <c r="AA78" s="189">
        <v>0</v>
      </c>
      <c r="AB78" s="189">
        <v>0</v>
      </c>
      <c r="AC78" s="189">
        <v>0</v>
      </c>
      <c r="AD78" s="189">
        <v>0</v>
      </c>
      <c r="AE78" s="189">
        <v>0</v>
      </c>
      <c r="AF78" s="189">
        <v>0</v>
      </c>
      <c r="AG78" s="189">
        <v>0</v>
      </c>
      <c r="AH78" s="189">
        <v>0</v>
      </c>
      <c r="AI78" s="189">
        <v>0</v>
      </c>
      <c r="AJ78" s="189">
        <v>0</v>
      </c>
      <c r="AK78" s="189">
        <v>0</v>
      </c>
      <c r="AL78" s="189">
        <v>0</v>
      </c>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114</v>
      </c>
      <c r="C79" s="189">
        <v>0</v>
      </c>
      <c r="D79" s="189">
        <v>0</v>
      </c>
      <c r="E79" s="189">
        <v>0</v>
      </c>
      <c r="F79" s="189">
        <v>0</v>
      </c>
      <c r="G79" s="189">
        <v>0</v>
      </c>
      <c r="H79" s="189">
        <v>0</v>
      </c>
      <c r="I79" s="189">
        <v>0</v>
      </c>
      <c r="J79" s="189">
        <v>0</v>
      </c>
      <c r="K79" s="189">
        <v>0</v>
      </c>
      <c r="L79" s="190">
        <v>0</v>
      </c>
      <c r="M79" s="189">
        <v>0</v>
      </c>
      <c r="N79" s="189">
        <v>0</v>
      </c>
      <c r="O79" s="189">
        <v>0</v>
      </c>
      <c r="P79" s="189">
        <v>0</v>
      </c>
      <c r="Q79" s="189">
        <v>0</v>
      </c>
      <c r="R79" s="189">
        <v>0</v>
      </c>
      <c r="S79" s="189">
        <v>0</v>
      </c>
      <c r="T79" s="189">
        <v>0</v>
      </c>
      <c r="U79" s="189">
        <v>0</v>
      </c>
      <c r="V79" s="189">
        <v>0</v>
      </c>
      <c r="W79" s="189">
        <v>0</v>
      </c>
      <c r="X79" s="189">
        <v>0</v>
      </c>
      <c r="Y79" s="189">
        <v>0</v>
      </c>
      <c r="Z79" s="189"/>
      <c r="AA79" s="189">
        <v>0</v>
      </c>
      <c r="AB79" s="189">
        <v>0</v>
      </c>
      <c r="AC79" s="189">
        <v>0</v>
      </c>
      <c r="AD79" s="189">
        <v>0</v>
      </c>
      <c r="AE79" s="189">
        <v>0</v>
      </c>
      <c r="AF79" s="189">
        <v>0</v>
      </c>
      <c r="AG79" s="189">
        <v>0</v>
      </c>
      <c r="AH79" s="189">
        <v>0</v>
      </c>
      <c r="AI79" s="189">
        <v>0</v>
      </c>
      <c r="AJ79" s="189">
        <v>0</v>
      </c>
      <c r="AK79" s="189">
        <v>0</v>
      </c>
      <c r="AL79" s="189">
        <v>0</v>
      </c>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t="s">
        <v>117</v>
      </c>
      <c r="C80" s="189">
        <v>0</v>
      </c>
      <c r="D80" s="189">
        <v>0</v>
      </c>
      <c r="E80" s="189">
        <v>0</v>
      </c>
      <c r="F80" s="189">
        <v>0</v>
      </c>
      <c r="G80" s="189">
        <v>0</v>
      </c>
      <c r="H80" s="189">
        <v>0</v>
      </c>
      <c r="I80" s="189">
        <v>0</v>
      </c>
      <c r="J80" s="189">
        <v>0</v>
      </c>
      <c r="K80" s="189">
        <v>0</v>
      </c>
      <c r="L80" s="190">
        <v>0</v>
      </c>
      <c r="M80" s="189">
        <v>0</v>
      </c>
      <c r="N80" s="189">
        <v>0</v>
      </c>
      <c r="O80" s="189">
        <v>0</v>
      </c>
      <c r="P80" s="189">
        <v>0</v>
      </c>
      <c r="Q80" s="189">
        <v>0</v>
      </c>
      <c r="R80" s="189">
        <v>0</v>
      </c>
      <c r="S80" s="189">
        <v>0</v>
      </c>
      <c r="T80" s="189">
        <v>0</v>
      </c>
      <c r="U80" s="189">
        <v>0</v>
      </c>
      <c r="V80" s="189">
        <v>0</v>
      </c>
      <c r="W80" s="189">
        <v>0</v>
      </c>
      <c r="X80" s="189">
        <v>0</v>
      </c>
      <c r="Y80" s="189">
        <v>0</v>
      </c>
      <c r="Z80" s="189"/>
      <c r="AA80" s="189">
        <v>0</v>
      </c>
      <c r="AB80" s="189">
        <v>0</v>
      </c>
      <c r="AC80" s="189">
        <v>0</v>
      </c>
      <c r="AD80" s="189">
        <v>0</v>
      </c>
      <c r="AE80" s="189">
        <v>0</v>
      </c>
      <c r="AF80" s="189">
        <v>0</v>
      </c>
      <c r="AG80" s="189">
        <v>0</v>
      </c>
      <c r="AH80" s="189">
        <v>0</v>
      </c>
      <c r="AI80" s="189">
        <v>0</v>
      </c>
      <c r="AJ80" s="189">
        <v>0</v>
      </c>
      <c r="AK80" s="189">
        <v>0</v>
      </c>
      <c r="AL80" s="189">
        <v>0</v>
      </c>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t="s">
        <v>120</v>
      </c>
      <c r="C81" s="189">
        <v>0</v>
      </c>
      <c r="D81" s="189">
        <v>0</v>
      </c>
      <c r="E81" s="189">
        <v>0</v>
      </c>
      <c r="F81" s="189">
        <v>0</v>
      </c>
      <c r="G81" s="189">
        <v>0</v>
      </c>
      <c r="H81" s="189">
        <v>0</v>
      </c>
      <c r="I81" s="189">
        <v>0</v>
      </c>
      <c r="J81" s="189">
        <v>0</v>
      </c>
      <c r="K81" s="189">
        <v>0</v>
      </c>
      <c r="L81" s="190">
        <v>0</v>
      </c>
      <c r="M81" s="189">
        <v>0</v>
      </c>
      <c r="N81" s="189">
        <v>0</v>
      </c>
      <c r="O81" s="189">
        <v>0</v>
      </c>
      <c r="P81" s="189">
        <v>0</v>
      </c>
      <c r="Q81" s="189">
        <v>0</v>
      </c>
      <c r="R81" s="189">
        <v>0</v>
      </c>
      <c r="S81" s="189">
        <v>0</v>
      </c>
      <c r="T81" s="189">
        <v>0</v>
      </c>
      <c r="U81" s="189">
        <v>0</v>
      </c>
      <c r="V81" s="189">
        <v>0</v>
      </c>
      <c r="W81" s="189">
        <v>0</v>
      </c>
      <c r="X81" s="189">
        <v>0</v>
      </c>
      <c r="Y81" s="189">
        <v>0</v>
      </c>
      <c r="Z81" s="189"/>
      <c r="AA81" s="189">
        <v>0</v>
      </c>
      <c r="AB81" s="189">
        <v>0</v>
      </c>
      <c r="AC81" s="189">
        <v>0</v>
      </c>
      <c r="AD81" s="189">
        <v>0</v>
      </c>
      <c r="AE81" s="189">
        <v>0</v>
      </c>
      <c r="AF81" s="189">
        <v>0</v>
      </c>
      <c r="AG81" s="189">
        <v>0</v>
      </c>
      <c r="AH81" s="189">
        <v>0</v>
      </c>
      <c r="AI81" s="189">
        <v>0</v>
      </c>
      <c r="AJ81" s="189">
        <v>0</v>
      </c>
      <c r="AK81" s="189">
        <v>0</v>
      </c>
      <c r="AL81" s="189">
        <v>0</v>
      </c>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c r="A82" s="9"/>
      <c r="B82" s="9" t="s">
        <v>123</v>
      </c>
      <c r="C82" s="189">
        <v>0</v>
      </c>
      <c r="D82" s="189">
        <v>0</v>
      </c>
      <c r="E82" s="189">
        <v>0</v>
      </c>
      <c r="F82" s="189">
        <v>0</v>
      </c>
      <c r="G82" s="189">
        <v>0</v>
      </c>
      <c r="H82" s="189">
        <v>0</v>
      </c>
      <c r="I82" s="189">
        <v>0</v>
      </c>
      <c r="J82" s="189">
        <v>0</v>
      </c>
      <c r="K82" s="189">
        <v>0</v>
      </c>
      <c r="L82" s="190">
        <v>0</v>
      </c>
      <c r="M82" s="189">
        <v>0</v>
      </c>
      <c r="N82" s="189">
        <v>0</v>
      </c>
      <c r="O82" s="189">
        <v>0</v>
      </c>
      <c r="P82" s="189">
        <v>0</v>
      </c>
      <c r="Q82" s="189">
        <v>0</v>
      </c>
      <c r="R82" s="189">
        <v>0</v>
      </c>
      <c r="S82" s="189">
        <v>0</v>
      </c>
      <c r="T82" s="189">
        <v>0</v>
      </c>
      <c r="U82" s="189">
        <v>0</v>
      </c>
      <c r="V82" s="189">
        <v>0</v>
      </c>
      <c r="W82" s="189">
        <v>0</v>
      </c>
      <c r="X82" s="189">
        <v>0</v>
      </c>
      <c r="Y82" s="189">
        <v>0</v>
      </c>
      <c r="Z82" s="189"/>
      <c r="AA82" s="189">
        <v>0</v>
      </c>
      <c r="AB82" s="189">
        <v>0</v>
      </c>
      <c r="AC82" s="189">
        <v>0</v>
      </c>
      <c r="AD82" s="189">
        <v>0</v>
      </c>
      <c r="AE82" s="189">
        <v>0</v>
      </c>
      <c r="AF82" s="189">
        <v>0</v>
      </c>
      <c r="AG82" s="189">
        <v>0</v>
      </c>
      <c r="AH82" s="189">
        <v>0</v>
      </c>
      <c r="AI82" s="189">
        <v>0</v>
      </c>
      <c r="AJ82" s="189">
        <v>0</v>
      </c>
      <c r="AK82" s="189">
        <v>0</v>
      </c>
      <c r="AL82" s="189">
        <v>0</v>
      </c>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c r="A83" s="9"/>
      <c r="B83" s="9" t="s">
        <v>126</v>
      </c>
      <c r="C83" s="189">
        <v>0</v>
      </c>
      <c r="D83" s="189">
        <v>0</v>
      </c>
      <c r="E83" s="189">
        <v>0</v>
      </c>
      <c r="F83" s="189">
        <v>0</v>
      </c>
      <c r="G83" s="189">
        <v>0</v>
      </c>
      <c r="H83" s="189">
        <v>0</v>
      </c>
      <c r="I83" s="189">
        <v>0</v>
      </c>
      <c r="J83" s="189">
        <v>0</v>
      </c>
      <c r="K83" s="189">
        <v>0</v>
      </c>
      <c r="L83" s="190">
        <v>0</v>
      </c>
      <c r="M83" s="189">
        <v>0</v>
      </c>
      <c r="N83" s="189">
        <v>0</v>
      </c>
      <c r="O83" s="189">
        <v>0</v>
      </c>
      <c r="P83" s="189">
        <v>0</v>
      </c>
      <c r="Q83" s="189">
        <v>0</v>
      </c>
      <c r="R83" s="189">
        <v>0</v>
      </c>
      <c r="S83" s="189">
        <v>0</v>
      </c>
      <c r="T83" s="189">
        <v>0</v>
      </c>
      <c r="U83" s="189">
        <v>0</v>
      </c>
      <c r="V83" s="189">
        <v>0</v>
      </c>
      <c r="W83" s="189">
        <v>0</v>
      </c>
      <c r="X83" s="189">
        <v>0</v>
      </c>
      <c r="Y83" s="189">
        <v>0</v>
      </c>
      <c r="Z83" s="189"/>
      <c r="AA83" s="189">
        <v>0</v>
      </c>
      <c r="AB83" s="189">
        <v>0</v>
      </c>
      <c r="AC83" s="189">
        <v>0</v>
      </c>
      <c r="AD83" s="189">
        <v>0</v>
      </c>
      <c r="AE83" s="189">
        <v>0</v>
      </c>
      <c r="AF83" s="189">
        <v>0</v>
      </c>
      <c r="AG83" s="189">
        <v>0</v>
      </c>
      <c r="AH83" s="189">
        <v>0</v>
      </c>
      <c r="AI83" s="189">
        <v>0</v>
      </c>
      <c r="AJ83" s="189">
        <v>0</v>
      </c>
      <c r="AK83" s="189">
        <v>0</v>
      </c>
      <c r="AL83" s="189">
        <v>0</v>
      </c>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c r="A84" s="9"/>
      <c r="B84" s="9" t="s">
        <v>129</v>
      </c>
      <c r="C84" s="189">
        <v>0</v>
      </c>
      <c r="D84" s="189">
        <v>0</v>
      </c>
      <c r="E84" s="189">
        <v>0</v>
      </c>
      <c r="F84" s="189">
        <v>0</v>
      </c>
      <c r="G84" s="189">
        <v>0</v>
      </c>
      <c r="H84" s="189">
        <v>0</v>
      </c>
      <c r="I84" s="189">
        <v>0</v>
      </c>
      <c r="J84" s="189">
        <v>0</v>
      </c>
      <c r="K84" s="189">
        <v>0</v>
      </c>
      <c r="L84" s="190">
        <v>0</v>
      </c>
      <c r="M84" s="189">
        <v>0</v>
      </c>
      <c r="N84" s="189">
        <v>0</v>
      </c>
      <c r="O84" s="189">
        <v>0</v>
      </c>
      <c r="P84" s="189">
        <v>0</v>
      </c>
      <c r="Q84" s="189">
        <v>0</v>
      </c>
      <c r="R84" s="189">
        <v>0</v>
      </c>
      <c r="S84" s="189">
        <v>0</v>
      </c>
      <c r="T84" s="189">
        <v>0</v>
      </c>
      <c r="U84" s="189">
        <v>0</v>
      </c>
      <c r="V84" s="189">
        <v>0</v>
      </c>
      <c r="W84" s="189">
        <v>0</v>
      </c>
      <c r="X84" s="189">
        <v>0</v>
      </c>
      <c r="Y84" s="189">
        <v>0</v>
      </c>
      <c r="Z84" s="189"/>
      <c r="AA84" s="189">
        <v>0</v>
      </c>
      <c r="AB84" s="189">
        <v>0</v>
      </c>
      <c r="AC84" s="189">
        <v>0</v>
      </c>
      <c r="AD84" s="189">
        <v>0</v>
      </c>
      <c r="AE84" s="189">
        <v>0</v>
      </c>
      <c r="AF84" s="189">
        <v>0</v>
      </c>
      <c r="AG84" s="189">
        <v>0</v>
      </c>
      <c r="AH84" s="189">
        <v>0</v>
      </c>
      <c r="AI84" s="189">
        <v>0</v>
      </c>
      <c r="AJ84" s="189">
        <v>0</v>
      </c>
      <c r="AK84" s="189">
        <v>0</v>
      </c>
      <c r="AL84" s="189">
        <v>0</v>
      </c>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c r="B85" s="9" t="s">
        <v>719</v>
      </c>
      <c r="C85" s="36">
        <v>6742.2443149002538</v>
      </c>
      <c r="D85" s="36">
        <v>43087.971274685813</v>
      </c>
      <c r="E85" s="36">
        <v>8617.594254937163</v>
      </c>
      <c r="F85" s="36">
        <v>51705.565529622974</v>
      </c>
      <c r="G85" s="36">
        <v>55676.32954382414</v>
      </c>
      <c r="H85" s="36">
        <v>4339.0341031650032</v>
      </c>
      <c r="I85" s="36">
        <v>67179.522557274482</v>
      </c>
      <c r="J85" s="36">
        <v>395.02976923282472</v>
      </c>
      <c r="K85" s="36">
        <v>598.14034923838028</v>
      </c>
      <c r="L85" s="162">
        <v>7.9228558373837188E-2</v>
      </c>
      <c r="M85" s="36">
        <v>64.051746815332038</v>
      </c>
      <c r="N85" s="41">
        <v>461.71748659103162</v>
      </c>
      <c r="O85" s="41">
        <v>408.04725072286527</v>
      </c>
      <c r="P85" s="41">
        <v>448.05082235977693</v>
      </c>
      <c r="Q85" s="41">
        <v>372.58937823325715</v>
      </c>
      <c r="R85" s="41">
        <v>361.54012491549565</v>
      </c>
      <c r="S85" s="41">
        <v>324.66835971548488</v>
      </c>
      <c r="T85" s="41">
        <v>281.40966355678387</v>
      </c>
      <c r="U85" s="41">
        <v>304.48944777375669</v>
      </c>
      <c r="V85" s="41">
        <v>275.50666439651695</v>
      </c>
      <c r="W85" s="41">
        <v>363.91421768664293</v>
      </c>
      <c r="X85" s="41">
        <v>358.84886327228526</v>
      </c>
      <c r="Y85" s="41">
        <v>440.1978769515631</v>
      </c>
      <c r="Z85" s="41"/>
      <c r="AA85" s="41">
        <v>269.25575470650642</v>
      </c>
      <c r="AB85" s="41">
        <v>228.92451717389972</v>
      </c>
      <c r="AC85" s="41">
        <v>214.21858655362385</v>
      </c>
      <c r="AD85" s="41">
        <v>199.34718390360803</v>
      </c>
      <c r="AE85" s="41">
        <v>191.89826258636995</v>
      </c>
      <c r="AF85" s="41">
        <v>150.56990473877258</v>
      </c>
      <c r="AG85" s="41">
        <v>159.24782041700004</v>
      </c>
      <c r="AH85" s="41">
        <v>139.18278318373956</v>
      </c>
      <c r="AI85" s="41">
        <v>159.3386793562704</v>
      </c>
      <c r="AJ85" s="41">
        <v>166.81319490735183</v>
      </c>
      <c r="AK85" s="41">
        <v>212.01881565375211</v>
      </c>
      <c r="AL85" s="41">
        <v>250.4486555438977</v>
      </c>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c r="B86" s="9"/>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c r="B87" s="9"/>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ht="13.5" thickBot="1">
      <c r="A88" s="34" t="s">
        <v>45</v>
      </c>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row r="89" spans="1:131" ht="13.5" thickBot="1">
      <c r="A89" s="42"/>
      <c r="B89" s="43"/>
      <c r="C89" s="44"/>
      <c r="D89" s="44"/>
      <c r="E89" s="44"/>
      <c r="F89" s="44"/>
      <c r="G89" s="44"/>
      <c r="H89" s="44"/>
      <c r="I89" s="44"/>
      <c r="J89" s="44"/>
      <c r="K89" s="44"/>
      <c r="L89" s="44"/>
      <c r="M89" s="44"/>
      <c r="N89" s="44"/>
      <c r="O89" s="45" t="s">
        <v>214</v>
      </c>
      <c r="P89" s="46"/>
      <c r="Q89" s="46"/>
      <c r="R89" s="46"/>
      <c r="S89" s="46"/>
      <c r="T89" s="46"/>
      <c r="U89" s="46"/>
      <c r="V89" s="46"/>
      <c r="W89" s="46"/>
      <c r="X89" s="46"/>
      <c r="Y89" s="46"/>
      <c r="Z89" s="40"/>
      <c r="AA89" s="44"/>
      <c r="AB89" s="45" t="s">
        <v>215</v>
      </c>
      <c r="AC89" s="46"/>
      <c r="AD89" s="46"/>
      <c r="AE89" s="46"/>
      <c r="AF89" s="46"/>
      <c r="AG89" s="46"/>
      <c r="AH89" s="46"/>
      <c r="AI89" s="46"/>
      <c r="AJ89" s="46"/>
      <c r="AK89" s="46"/>
      <c r="AL89" s="46"/>
      <c r="AM89" s="40"/>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row>
    <row r="90" spans="1:131" ht="191.25">
      <c r="A90" s="37" t="s">
        <v>21</v>
      </c>
      <c r="B90" s="38" t="s">
        <v>22</v>
      </c>
      <c r="C90" s="39" t="s">
        <v>46</v>
      </c>
      <c r="D90" s="39" t="s">
        <v>25</v>
      </c>
      <c r="E90" s="39" t="s">
        <v>26</v>
      </c>
      <c r="F90" s="39" t="s">
        <v>27</v>
      </c>
      <c r="G90" s="39" t="s">
        <v>28</v>
      </c>
      <c r="H90" s="39" t="s">
        <v>29</v>
      </c>
      <c r="I90" s="39" t="s">
        <v>30</v>
      </c>
      <c r="J90" s="39" t="s">
        <v>31</v>
      </c>
      <c r="K90" s="39" t="s">
        <v>24</v>
      </c>
      <c r="L90" s="39" t="s">
        <v>23</v>
      </c>
      <c r="M90" s="39" t="s">
        <v>32</v>
      </c>
      <c r="N90" s="39" t="s">
        <v>216</v>
      </c>
      <c r="O90" s="39" t="s">
        <v>33</v>
      </c>
      <c r="P90" s="39" t="s">
        <v>34</v>
      </c>
      <c r="Q90" s="39" t="s">
        <v>35</v>
      </c>
      <c r="R90" s="39" t="s">
        <v>36</v>
      </c>
      <c r="S90" s="39" t="s">
        <v>37</v>
      </c>
      <c r="T90" s="39" t="s">
        <v>38</v>
      </c>
      <c r="U90" s="39" t="s">
        <v>39</v>
      </c>
      <c r="V90" s="39" t="s">
        <v>40</v>
      </c>
      <c r="W90" s="39" t="s">
        <v>41</v>
      </c>
      <c r="X90" s="39" t="s">
        <v>42</v>
      </c>
      <c r="Y90" s="39" t="s">
        <v>43</v>
      </c>
      <c r="Z90" s="39" t="s">
        <v>44</v>
      </c>
      <c r="AA90" s="39"/>
      <c r="AB90" s="39" t="s">
        <v>33</v>
      </c>
      <c r="AC90" s="39" t="s">
        <v>34</v>
      </c>
      <c r="AD90" s="39" t="s">
        <v>35</v>
      </c>
      <c r="AE90" s="39" t="s">
        <v>36</v>
      </c>
      <c r="AF90" s="39" t="s">
        <v>37</v>
      </c>
      <c r="AG90" s="39" t="s">
        <v>38</v>
      </c>
      <c r="AH90" s="39" t="s">
        <v>39</v>
      </c>
      <c r="AI90" s="39" t="s">
        <v>40</v>
      </c>
      <c r="AJ90" s="39" t="s">
        <v>41</v>
      </c>
      <c r="AK90" s="39" t="s">
        <v>42</v>
      </c>
      <c r="AL90" s="39" t="s">
        <v>43</v>
      </c>
      <c r="AM90" s="39" t="s">
        <v>44</v>
      </c>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row>
    <row r="91" spans="1:131">
      <c r="A91" s="9" t="s">
        <v>365</v>
      </c>
      <c r="B91" s="9"/>
      <c r="C91" s="41">
        <v>1595.2631637933634</v>
      </c>
      <c r="D91" s="41">
        <v>8617.594254937163</v>
      </c>
      <c r="E91" s="41">
        <v>1723.5188509874326</v>
      </c>
      <c r="F91" s="41">
        <v>10341.113105924596</v>
      </c>
      <c r="G91" s="41">
        <v>11135.265908764828</v>
      </c>
      <c r="H91" s="41">
        <v>1026.6464619095768</v>
      </c>
      <c r="I91" s="41">
        <v>56785.709633318824</v>
      </c>
      <c r="J91" s="41">
        <v>332.44439134934646</v>
      </c>
      <c r="K91" s="41">
        <v>504.13031558045765</v>
      </c>
      <c r="L91" s="162">
        <v>9.2197749952381419E-2</v>
      </c>
      <c r="M91" s="41">
        <v>15.15510080898482</v>
      </c>
      <c r="N91" s="41">
        <v>0.26651693572016161</v>
      </c>
      <c r="O91" s="41">
        <v>109.24565530948516</v>
      </c>
      <c r="P91" s="41">
        <v>96.546894144249379</v>
      </c>
      <c r="Q91" s="41">
        <v>106.01202493334007</v>
      </c>
      <c r="R91" s="41">
        <v>88.15730824269032</v>
      </c>
      <c r="S91" s="41">
        <v>85.542975984469962</v>
      </c>
      <c r="T91" s="41">
        <v>76.818852968395973</v>
      </c>
      <c r="U91" s="41">
        <v>66.58353646656046</v>
      </c>
      <c r="V91" s="41">
        <v>72.044378267897784</v>
      </c>
      <c r="W91" s="41">
        <v>65.186844700961601</v>
      </c>
      <c r="X91" s="41">
        <v>86.104703291928899</v>
      </c>
      <c r="Y91" s="41">
        <v>84.906204256388918</v>
      </c>
      <c r="Z91" s="41">
        <v>104.15396195728947</v>
      </c>
      <c r="AA91" s="41"/>
      <c r="AB91" s="41">
        <v>63.707834818950175</v>
      </c>
      <c r="AC91" s="41">
        <v>54.16517593846735</v>
      </c>
      <c r="AD91" s="41">
        <v>50.685647711348501</v>
      </c>
      <c r="AE91" s="41">
        <v>47.166967620050109</v>
      </c>
      <c r="AF91" s="41">
        <v>45.404499629810751</v>
      </c>
      <c r="AG91" s="41">
        <v>35.62591496051315</v>
      </c>
      <c r="AH91" s="41">
        <v>37.679171795093758</v>
      </c>
      <c r="AI91" s="41">
        <v>32.931640664009805</v>
      </c>
      <c r="AJ91" s="41">
        <v>37.700669669117559</v>
      </c>
      <c r="AK91" s="41">
        <v>39.469193437900209</v>
      </c>
      <c r="AL91" s="41">
        <v>50.16516620378956</v>
      </c>
      <c r="AM91" s="36">
        <v>59.257940820654362</v>
      </c>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row>
    <row r="92" spans="1:131">
      <c r="A92" s="9" t="s">
        <v>364</v>
      </c>
      <c r="B92" s="9"/>
      <c r="C92" s="41">
        <v>1504.9652488616637</v>
      </c>
      <c r="D92" s="41">
        <v>8617.594254937163</v>
      </c>
      <c r="E92" s="41">
        <v>1723.5188509874326</v>
      </c>
      <c r="F92" s="41">
        <v>10341.113105924596</v>
      </c>
      <c r="G92" s="41">
        <v>11135.265908764828</v>
      </c>
      <c r="H92" s="41">
        <v>968.53439802790217</v>
      </c>
      <c r="I92" s="41">
        <v>60192.85221131795</v>
      </c>
      <c r="J92" s="41">
        <v>352.9601835140769</v>
      </c>
      <c r="K92" s="41">
        <v>534.94726319905465</v>
      </c>
      <c r="L92" s="162">
        <v>8.6979009389039033E-2</v>
      </c>
      <c r="M92" s="41">
        <v>14.297264914136624</v>
      </c>
      <c r="N92" s="41">
        <v>0.25143107143411469</v>
      </c>
      <c r="O92" s="41">
        <v>103.06193897121241</v>
      </c>
      <c r="P92" s="41">
        <v>91.081975607782425</v>
      </c>
      <c r="Q92" s="41">
        <v>100.01134427673591</v>
      </c>
      <c r="R92" s="41">
        <v>83.167271927066338</v>
      </c>
      <c r="S92" s="41">
        <v>80.700920740065996</v>
      </c>
      <c r="T92" s="41">
        <v>72.470616007920739</v>
      </c>
      <c r="U92" s="41">
        <v>62.81465704392496</v>
      </c>
      <c r="V92" s="41">
        <v>67.966394592356409</v>
      </c>
      <c r="W92" s="41">
        <v>61.497023302793963</v>
      </c>
      <c r="X92" s="41">
        <v>81.230852162197081</v>
      </c>
      <c r="Y92" s="41">
        <v>80.100192694706521</v>
      </c>
      <c r="Z92" s="41">
        <v>98.258454676688189</v>
      </c>
      <c r="AA92" s="41"/>
      <c r="AB92" s="41">
        <v>60.101730961273745</v>
      </c>
      <c r="AC92" s="41">
        <v>51.099222583459763</v>
      </c>
      <c r="AD92" s="41">
        <v>47.81664878429104</v>
      </c>
      <c r="AE92" s="41">
        <v>44.497139264198211</v>
      </c>
      <c r="AF92" s="41">
        <v>42.834433613029013</v>
      </c>
      <c r="AG92" s="41">
        <v>33.609353736333162</v>
      </c>
      <c r="AH92" s="41">
        <v>35.546388485937513</v>
      </c>
      <c r="AI92" s="41">
        <v>31.067585532084724</v>
      </c>
      <c r="AJ92" s="41">
        <v>35.566669499167503</v>
      </c>
      <c r="AK92" s="41">
        <v>37.235088148962461</v>
      </c>
      <c r="AL92" s="41">
        <v>47.325628494141093</v>
      </c>
      <c r="AM92" s="36">
        <v>55.903717755334299</v>
      </c>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row>
    <row r="93" spans="1:131">
      <c r="A93" s="9" t="s">
        <v>363</v>
      </c>
      <c r="B93" s="9"/>
      <c r="C93" s="41">
        <v>1294.2701140210308</v>
      </c>
      <c r="D93" s="41">
        <v>8617.594254937163</v>
      </c>
      <c r="E93" s="41">
        <v>1723.5188509874326</v>
      </c>
      <c r="F93" s="41">
        <v>10341.113105924596</v>
      </c>
      <c r="G93" s="41">
        <v>11135.265908764828</v>
      </c>
      <c r="H93" s="41">
        <v>832.93958230399608</v>
      </c>
      <c r="I93" s="41">
        <v>69991.688617811567</v>
      </c>
      <c r="J93" s="41">
        <v>411.96296563124736</v>
      </c>
      <c r="K93" s="41">
        <v>623.57584898587277</v>
      </c>
      <c r="L93" s="162">
        <v>7.4801948074573577E-2</v>
      </c>
      <c r="M93" s="41">
        <v>12.295647826157477</v>
      </c>
      <c r="N93" s="41">
        <v>0.21623072143333863</v>
      </c>
      <c r="O93" s="41">
        <v>88.633267515242679</v>
      </c>
      <c r="P93" s="41">
        <v>78.330499022692891</v>
      </c>
      <c r="Q93" s="41">
        <v>86.00975607799289</v>
      </c>
      <c r="R93" s="41">
        <v>71.523853857277047</v>
      </c>
      <c r="S93" s="41">
        <v>69.402791836456757</v>
      </c>
      <c r="T93" s="41">
        <v>62.324729766811828</v>
      </c>
      <c r="U93" s="41">
        <v>54.02060505777547</v>
      </c>
      <c r="V93" s="41">
        <v>58.451099349426507</v>
      </c>
      <c r="W93" s="41">
        <v>52.887440040402808</v>
      </c>
      <c r="X93" s="41">
        <v>69.858532859489486</v>
      </c>
      <c r="Y93" s="41">
        <v>68.886165717447611</v>
      </c>
      <c r="Z93" s="41">
        <v>84.502271021951842</v>
      </c>
      <c r="AA93" s="41"/>
      <c r="AB93" s="41">
        <v>51.687488626695419</v>
      </c>
      <c r="AC93" s="41">
        <v>43.9453314217754</v>
      </c>
      <c r="AD93" s="41">
        <v>41.122317954490292</v>
      </c>
      <c r="AE93" s="41">
        <v>38.267539767210465</v>
      </c>
      <c r="AF93" s="41">
        <v>36.837612907204949</v>
      </c>
      <c r="AG93" s="41">
        <v>28.904044213246522</v>
      </c>
      <c r="AH93" s="41">
        <v>30.569894097906257</v>
      </c>
      <c r="AI93" s="41">
        <v>26.718123557592861</v>
      </c>
      <c r="AJ93" s="41">
        <v>30.587335769284053</v>
      </c>
      <c r="AK93" s="41">
        <v>32.022175808107718</v>
      </c>
      <c r="AL93" s="41">
        <v>40.700040504961343</v>
      </c>
      <c r="AM93" s="36">
        <v>48.077197269587501</v>
      </c>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row>
    <row r="94" spans="1:131">
      <c r="A94" s="9" t="s">
        <v>362</v>
      </c>
      <c r="B94" s="9"/>
      <c r="C94" s="41">
        <v>1203.9721990893308</v>
      </c>
      <c r="D94" s="41">
        <v>8617.594254937163</v>
      </c>
      <c r="E94" s="41">
        <v>1723.5188509874326</v>
      </c>
      <c r="F94" s="41">
        <v>10341.113105924596</v>
      </c>
      <c r="G94" s="41">
        <v>11135.265908764828</v>
      </c>
      <c r="H94" s="41">
        <v>774.82751842232221</v>
      </c>
      <c r="I94" s="41">
        <v>75241.065264147444</v>
      </c>
      <c r="J94" s="41">
        <v>443.57159890830297</v>
      </c>
      <c r="K94" s="41">
        <v>671.05544851452532</v>
      </c>
      <c r="L94" s="162">
        <v>6.958320751123126E-2</v>
      </c>
      <c r="M94" s="41">
        <v>11.437811931309296</v>
      </c>
      <c r="N94" s="41">
        <v>0.20114485714729177</v>
      </c>
      <c r="O94" s="41">
        <v>82.449551176969933</v>
      </c>
      <c r="P94" s="41">
        <v>72.865580486225937</v>
      </c>
      <c r="Q94" s="41">
        <v>80.009075421388729</v>
      </c>
      <c r="R94" s="41">
        <v>66.533817541653065</v>
      </c>
      <c r="S94" s="41">
        <v>64.560736592052805</v>
      </c>
      <c r="T94" s="41">
        <v>57.976492806336587</v>
      </c>
      <c r="U94" s="41">
        <v>50.251725635139969</v>
      </c>
      <c r="V94" s="41">
        <v>54.373115673885124</v>
      </c>
      <c r="W94" s="41">
        <v>49.19761864223517</v>
      </c>
      <c r="X94" s="41">
        <v>64.984681729757654</v>
      </c>
      <c r="Y94" s="41">
        <v>64.080154155765229</v>
      </c>
      <c r="Z94" s="41">
        <v>78.606763741350548</v>
      </c>
      <c r="AA94" s="41"/>
      <c r="AB94" s="41">
        <v>48.081384769018996</v>
      </c>
      <c r="AC94" s="41">
        <v>40.879378066767813</v>
      </c>
      <c r="AD94" s="41">
        <v>38.253319027432831</v>
      </c>
      <c r="AE94" s="41">
        <v>35.597711411358574</v>
      </c>
      <c r="AF94" s="41">
        <v>34.267546890423212</v>
      </c>
      <c r="AG94" s="41">
        <v>26.88748298906653</v>
      </c>
      <c r="AH94" s="41">
        <v>28.437110788750008</v>
      </c>
      <c r="AI94" s="41">
        <v>24.85406842566778</v>
      </c>
      <c r="AJ94" s="41">
        <v>28.453335599334004</v>
      </c>
      <c r="AK94" s="41">
        <v>29.78807051916997</v>
      </c>
      <c r="AL94" s="41">
        <v>37.860502795312875</v>
      </c>
      <c r="AM94" s="36">
        <v>44.722974204267445</v>
      </c>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row>
    <row r="95" spans="1:131">
      <c r="A95" s="9" t="s">
        <v>361</v>
      </c>
      <c r="B95" s="9"/>
      <c r="C95" s="41">
        <v>1143.7735891348643</v>
      </c>
      <c r="D95" s="41">
        <v>8617.594254937163</v>
      </c>
      <c r="E95" s="41">
        <v>1723.5188509874326</v>
      </c>
      <c r="F95" s="41">
        <v>10341.113105924596</v>
      </c>
      <c r="G95" s="41">
        <v>11135.265908764828</v>
      </c>
      <c r="H95" s="41">
        <v>736.08614250120604</v>
      </c>
      <c r="I95" s="41">
        <v>79201.121330681519</v>
      </c>
      <c r="J95" s="41">
        <v>467.41670822257299</v>
      </c>
      <c r="K95" s="41">
        <v>706.87339201859641</v>
      </c>
      <c r="L95" s="162">
        <v>6.6104047135669697E-2</v>
      </c>
      <c r="M95" s="41">
        <v>10.86592133474382</v>
      </c>
      <c r="N95" s="41">
        <v>0.19108761428992718</v>
      </c>
      <c r="O95" s="41">
        <v>78.327073618121432</v>
      </c>
      <c r="P95" s="41">
        <v>69.22230146191464</v>
      </c>
      <c r="Q95" s="41">
        <v>76.008621650319299</v>
      </c>
      <c r="R95" s="41">
        <v>63.207126664570417</v>
      </c>
      <c r="S95" s="41">
        <v>61.332699762450162</v>
      </c>
      <c r="T95" s="41">
        <v>55.077668166019755</v>
      </c>
      <c r="U95" s="41">
        <v>47.739139353382974</v>
      </c>
      <c r="V95" s="41">
        <v>51.654459890190864</v>
      </c>
      <c r="W95" s="41">
        <v>46.737737710123412</v>
      </c>
      <c r="X95" s="41">
        <v>61.735447643269779</v>
      </c>
      <c r="Y95" s="41">
        <v>60.876146447976964</v>
      </c>
      <c r="Z95" s="41">
        <v>74.676425554283014</v>
      </c>
      <c r="AA95" s="41"/>
      <c r="AB95" s="41">
        <v>45.677315530568045</v>
      </c>
      <c r="AC95" s="41">
        <v>38.835409163429418</v>
      </c>
      <c r="AD95" s="41">
        <v>36.340653076061187</v>
      </c>
      <c r="AE95" s="41">
        <v>33.81782584079064</v>
      </c>
      <c r="AF95" s="41">
        <v>32.554169545902049</v>
      </c>
      <c r="AG95" s="41">
        <v>25.543108839613204</v>
      </c>
      <c r="AH95" s="41">
        <v>27.015255249312506</v>
      </c>
      <c r="AI95" s="41">
        <v>23.611365004384389</v>
      </c>
      <c r="AJ95" s="41">
        <v>27.030668819367303</v>
      </c>
      <c r="AK95" s="41">
        <v>28.298666993211469</v>
      </c>
      <c r="AL95" s="41">
        <v>35.967477655547228</v>
      </c>
      <c r="AM95" s="36">
        <v>42.486825494054067</v>
      </c>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row>
    <row r="96" spans="1:131">
      <c r="A96" s="9"/>
      <c r="B96" s="9"/>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6"/>
  <dimension ref="B1:DB223"/>
  <sheetViews>
    <sheetView topLeftCell="B1" workbookViewId="0">
      <selection activeCell="F8" sqref="F8"/>
    </sheetView>
  </sheetViews>
  <sheetFormatPr defaultRowHeight="12.75"/>
  <cols>
    <col min="1" max="1" width="9.140625" style="9"/>
    <col min="2" max="2" width="46.42578125" style="9" customWidth="1"/>
    <col min="3" max="3" width="25" style="9" customWidth="1"/>
    <col min="4" max="4" width="17.28515625" style="9" bestFit="1" customWidth="1"/>
    <col min="5" max="5" width="12" style="9" bestFit="1" customWidth="1"/>
    <col min="6" max="6" width="12.5703125" style="9" customWidth="1"/>
    <col min="7" max="7" width="13.7109375" style="9" customWidth="1"/>
    <col min="8" max="8" width="17.28515625" style="9" bestFit="1" customWidth="1"/>
    <col min="9" max="9" width="15.5703125" style="9" bestFit="1" customWidth="1"/>
    <col min="10" max="10" width="15.28515625" style="9" bestFit="1" customWidth="1"/>
    <col min="11" max="11" width="14.28515625" style="9" bestFit="1" customWidth="1"/>
    <col min="12" max="12" width="14.28515625" style="9" customWidth="1"/>
    <col min="13" max="13" width="12.5703125" style="9" customWidth="1"/>
    <col min="14" max="14" width="10.28515625" style="9" bestFit="1" customWidth="1"/>
    <col min="15" max="16" width="10.85546875" style="9" bestFit="1" customWidth="1"/>
    <col min="17" max="17" width="13.42578125" style="9" customWidth="1"/>
    <col min="18" max="18" width="11.85546875" style="9" bestFit="1" customWidth="1"/>
    <col min="19" max="19" width="11" style="9" bestFit="1" customWidth="1"/>
    <col min="20" max="20" width="14.28515625" style="9" bestFit="1" customWidth="1"/>
    <col min="21" max="21" width="10.7109375" style="9" customWidth="1"/>
    <col min="22" max="22" width="13.85546875" style="9" bestFit="1" customWidth="1"/>
    <col min="23" max="23" width="11.7109375" style="9" bestFit="1" customWidth="1"/>
    <col min="24" max="24" width="15.28515625" style="9" bestFit="1" customWidth="1"/>
    <col min="25" max="27" width="12.28515625" style="9" bestFit="1" customWidth="1"/>
    <col min="28" max="28" width="12.5703125" style="9" bestFit="1" customWidth="1"/>
    <col min="29" max="31" width="14.28515625" style="9" bestFit="1" customWidth="1"/>
    <col min="32" max="32" width="13.7109375" style="9" bestFit="1" customWidth="1"/>
    <col min="33" max="33" width="14" style="9" bestFit="1" customWidth="1"/>
    <col min="34" max="34" width="12.85546875" style="9" bestFit="1" customWidth="1"/>
    <col min="35" max="35" width="15.28515625" style="9" bestFit="1" customWidth="1"/>
    <col min="36" max="36" width="12.28515625" style="9" bestFit="1" customWidth="1"/>
    <col min="37" max="37" width="10.85546875" style="9" bestFit="1" customWidth="1"/>
    <col min="38" max="38" width="12.28515625" style="9" bestFit="1" customWidth="1"/>
    <col min="39" max="39" width="12.5703125" style="9" bestFit="1" customWidth="1"/>
    <col min="40" max="44" width="12.85546875" style="9" customWidth="1"/>
    <col min="45" max="45" width="12.5703125" style="9" customWidth="1"/>
    <col min="46" max="46" width="12.28515625" style="9" customWidth="1"/>
    <col min="47" max="47" width="12.7109375" style="9" customWidth="1"/>
    <col min="48" max="48" width="11.85546875" style="9" customWidth="1"/>
    <col min="49" max="49" width="12.5703125" style="9" bestFit="1" customWidth="1"/>
    <col min="50" max="50" width="13.42578125" style="9" customWidth="1"/>
    <col min="51" max="51" width="15.7109375" style="9" bestFit="1" customWidth="1"/>
    <col min="52" max="52" width="11" style="9" bestFit="1" customWidth="1"/>
    <col min="53" max="53" width="14.28515625" style="9" bestFit="1" customWidth="1"/>
    <col min="54" max="54" width="14.7109375" style="9" bestFit="1" customWidth="1"/>
    <col min="55" max="55" width="15" style="9" bestFit="1" customWidth="1"/>
    <col min="56" max="56" width="12.5703125" style="9" bestFit="1" customWidth="1"/>
    <col min="57" max="57" width="13.5703125" style="9" customWidth="1"/>
    <col min="58" max="59" width="14.5703125" style="9" bestFit="1" customWidth="1"/>
    <col min="60" max="60" width="14.85546875" style="9" bestFit="1" customWidth="1"/>
    <col min="61" max="61" width="12.5703125" style="9" bestFit="1" customWidth="1"/>
    <col min="62" max="62" width="13.28515625" style="9" bestFit="1" customWidth="1"/>
    <col min="63" max="63" width="14" style="9" bestFit="1" customWidth="1"/>
    <col min="64" max="64" width="13.28515625" style="9" bestFit="1" customWidth="1"/>
    <col min="65" max="65" width="11.140625" style="9" bestFit="1" customWidth="1"/>
    <col min="66" max="66" width="16.85546875" style="9" bestFit="1" customWidth="1"/>
    <col min="67" max="67" width="14.7109375" style="9" customWidth="1"/>
    <col min="68" max="68" width="12" style="9" customWidth="1"/>
    <col min="69" max="69" width="14" style="9" customWidth="1"/>
    <col min="70" max="70" width="12.5703125" style="9" customWidth="1"/>
    <col min="71" max="71" width="11.28515625" style="9" customWidth="1"/>
    <col min="72" max="72" width="14.42578125" style="9" customWidth="1"/>
    <col min="73" max="73" width="15.7109375" style="9" customWidth="1"/>
    <col min="74" max="74" width="12.85546875" style="9" customWidth="1"/>
    <col min="75" max="75" width="13" style="9" customWidth="1"/>
    <col min="76" max="76" width="11.7109375" style="9" customWidth="1"/>
    <col min="77" max="77" width="14" style="9" customWidth="1"/>
    <col min="78" max="78" width="14.85546875" style="9" customWidth="1"/>
    <col min="79" max="79" width="11.85546875" style="9" customWidth="1"/>
    <col min="80" max="80" width="13.85546875" style="9" customWidth="1"/>
    <col min="81" max="81" width="13.7109375" style="9" customWidth="1"/>
    <col min="82" max="82" width="13" style="9" customWidth="1"/>
    <col min="83" max="83" width="12.42578125" style="9" customWidth="1"/>
    <col min="84" max="84" width="13" style="9" customWidth="1"/>
    <col min="85" max="85" width="12.7109375" style="9" hidden="1" customWidth="1"/>
    <col min="86" max="86" width="12.42578125" style="9" hidden="1" customWidth="1"/>
    <col min="87" max="87" width="10.28515625" style="9" hidden="1" customWidth="1"/>
    <col min="88" max="91" width="9.85546875" style="9" hidden="1" customWidth="1"/>
    <col min="92" max="92" width="9.85546875" style="9" customWidth="1"/>
    <col min="93" max="100" width="10.7109375" style="9" customWidth="1"/>
    <col min="101" max="101" width="16.5703125" style="9" customWidth="1"/>
    <col min="102" max="106" width="10.7109375" style="9" customWidth="1"/>
    <col min="107" max="16384" width="9.140625" style="9"/>
  </cols>
  <sheetData>
    <row r="1" spans="2:106">
      <c r="B1" s="1"/>
      <c r="C1" s="2"/>
      <c r="D1" s="2"/>
      <c r="E1" s="2"/>
      <c r="F1" s="2"/>
      <c r="G1" s="2"/>
      <c r="H1" s="2"/>
      <c r="I1" s="3"/>
      <c r="J1" s="4"/>
      <c r="K1" s="4"/>
      <c r="L1" s="4"/>
      <c r="M1" s="4"/>
      <c r="N1" s="4"/>
      <c r="O1" s="5"/>
      <c r="P1" s="6"/>
      <c r="Q1" s="5"/>
      <c r="R1" s="5"/>
      <c r="S1" s="5"/>
      <c r="T1" s="3"/>
      <c r="U1" s="3"/>
      <c r="V1" s="3"/>
      <c r="W1" s="5"/>
      <c r="X1" s="3"/>
      <c r="Y1" s="3"/>
      <c r="Z1" s="3"/>
      <c r="AA1" s="3"/>
      <c r="AB1" s="3"/>
      <c r="AC1" s="3"/>
      <c r="AD1" s="3"/>
      <c r="AE1" s="3"/>
      <c r="AF1" s="3"/>
      <c r="AG1" s="3"/>
      <c r="AH1" s="3"/>
      <c r="AI1" s="3"/>
      <c r="AJ1" s="3"/>
      <c r="AK1" s="3"/>
      <c r="AL1" s="3"/>
      <c r="AM1" s="3"/>
      <c r="AN1" s="3"/>
      <c r="AO1" s="3"/>
      <c r="AP1" s="3"/>
      <c r="AQ1" s="7"/>
      <c r="AR1" s="3"/>
      <c r="AS1" s="3"/>
      <c r="AT1" s="3"/>
      <c r="AU1" s="3"/>
      <c r="AV1" s="3"/>
      <c r="AW1" s="7"/>
      <c r="AX1" s="3"/>
      <c r="AY1" s="3"/>
      <c r="AZ1" s="3"/>
      <c r="BA1" s="3"/>
      <c r="BB1" s="3"/>
      <c r="BC1" s="3"/>
      <c r="BD1" s="3"/>
      <c r="BE1" s="3"/>
      <c r="BF1" s="3"/>
      <c r="BG1" s="3"/>
      <c r="BH1" s="3"/>
      <c r="BI1" s="3"/>
      <c r="BJ1" s="3"/>
      <c r="BK1" s="3"/>
      <c r="BL1" s="3"/>
      <c r="BM1" s="3"/>
      <c r="BN1" s="8"/>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7"/>
      <c r="CR1" s="3"/>
      <c r="CS1" s="3"/>
      <c r="CT1" s="3"/>
      <c r="CU1" s="3"/>
      <c r="CV1" s="3"/>
      <c r="CW1" s="3"/>
      <c r="CX1" s="3"/>
      <c r="CY1" s="3"/>
      <c r="CZ1" s="3"/>
      <c r="DA1" s="3"/>
      <c r="DB1" s="3"/>
    </row>
    <row r="2" spans="2:106">
      <c r="B2" s="10"/>
      <c r="C2" s="3"/>
      <c r="D2" s="3"/>
      <c r="E2" s="3"/>
      <c r="F2" s="3"/>
      <c r="G2" s="3"/>
      <c r="H2" s="3"/>
      <c r="I2" s="3"/>
      <c r="J2" s="4"/>
      <c r="K2" s="4"/>
      <c r="L2" s="4"/>
      <c r="M2" s="4"/>
      <c r="N2" s="4"/>
      <c r="O2" s="5"/>
      <c r="P2" s="5"/>
      <c r="Q2" s="5"/>
      <c r="R2" s="5"/>
      <c r="S2" s="5"/>
      <c r="T2" s="3"/>
      <c r="U2" s="3"/>
      <c r="V2" s="3"/>
      <c r="W2" s="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7"/>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row>
    <row r="3" spans="2:106">
      <c r="B3" s="10"/>
      <c r="D3" s="10"/>
      <c r="K3" s="11"/>
      <c r="L3" s="12"/>
      <c r="CP3" s="12"/>
      <c r="CQ3" s="12"/>
    </row>
    <row r="5" spans="2:10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row>
    <row r="6" spans="2:106">
      <c r="B6" s="14" t="s">
        <v>3</v>
      </c>
      <c r="C6" s="15"/>
      <c r="D6" s="15"/>
      <c r="E6" s="15"/>
      <c r="F6" s="15"/>
      <c r="G6" s="15"/>
      <c r="H6" s="16"/>
      <c r="I6" s="17"/>
      <c r="J6" s="195" t="s">
        <v>4</v>
      </c>
      <c r="K6" s="196"/>
      <c r="L6" s="196"/>
      <c r="M6" s="196"/>
      <c r="N6" s="196"/>
      <c r="O6" s="197"/>
      <c r="P6" s="198" t="s">
        <v>5</v>
      </c>
      <c r="Q6" s="199"/>
      <c r="R6" s="18"/>
      <c r="S6" s="19"/>
      <c r="T6" s="19"/>
      <c r="U6" s="19"/>
      <c r="V6" s="19"/>
      <c r="W6" s="19"/>
      <c r="X6" s="19"/>
      <c r="Y6" s="20"/>
      <c r="Z6" s="21"/>
      <c r="AA6" s="19"/>
      <c r="AB6" s="19"/>
      <c r="AC6" s="19"/>
      <c r="AD6" s="19"/>
      <c r="AE6" s="19"/>
      <c r="AF6" s="22"/>
      <c r="AG6" s="22"/>
      <c r="AH6" s="22"/>
      <c r="AI6" s="22"/>
      <c r="AJ6" s="22"/>
      <c r="AK6" s="22"/>
      <c r="AL6" s="22"/>
      <c r="AM6" s="22"/>
      <c r="AN6" s="22"/>
      <c r="AO6" s="22"/>
      <c r="AP6" s="22"/>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2:106" ht="25.5">
      <c r="B7" s="23" t="s">
        <v>6</v>
      </c>
      <c r="C7" s="23" t="s">
        <v>7</v>
      </c>
      <c r="D7" s="23" t="s">
        <v>8</v>
      </c>
      <c r="E7" s="23" t="s">
        <v>9</v>
      </c>
      <c r="F7" s="23" t="s">
        <v>10</v>
      </c>
      <c r="G7" s="23" t="s">
        <v>11</v>
      </c>
      <c r="H7" s="23" t="s">
        <v>12</v>
      </c>
      <c r="I7" s="23" t="s">
        <v>13</v>
      </c>
      <c r="J7" s="23" t="s">
        <v>14</v>
      </c>
      <c r="K7" s="23" t="s">
        <v>15</v>
      </c>
      <c r="L7" s="23" t="s">
        <v>16</v>
      </c>
      <c r="M7" s="23" t="s">
        <v>17</v>
      </c>
      <c r="N7" s="23" t="s">
        <v>18</v>
      </c>
      <c r="O7" s="23" t="s">
        <v>19</v>
      </c>
      <c r="P7" s="24" t="s">
        <v>20</v>
      </c>
      <c r="Q7" s="23" t="s">
        <v>12</v>
      </c>
      <c r="R7" s="25"/>
      <c r="S7" s="25"/>
      <c r="T7" s="25"/>
      <c r="U7" s="25"/>
      <c r="V7" s="25"/>
      <c r="W7" s="25"/>
      <c r="X7" s="25"/>
      <c r="Y7" s="25"/>
      <c r="Z7" s="25"/>
      <c r="AA7" s="25"/>
      <c r="AB7" s="25"/>
      <c r="AC7" s="25"/>
      <c r="AD7" s="25"/>
      <c r="AE7" s="25"/>
      <c r="AF7" s="22"/>
      <c r="AG7" s="22"/>
      <c r="AH7" s="22"/>
      <c r="AI7" s="22"/>
      <c r="AJ7" s="22"/>
      <c r="AK7" s="22"/>
      <c r="AL7" s="22"/>
      <c r="AM7" s="22"/>
      <c r="AN7" s="22"/>
      <c r="AO7" s="22"/>
      <c r="AP7" s="22"/>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2:106">
      <c r="B8" s="26" t="s">
        <v>361</v>
      </c>
      <c r="C8" s="26" t="s">
        <v>361</v>
      </c>
      <c r="D8" s="27">
        <f>'PNW Solar Zones'!C2</f>
        <v>1064</v>
      </c>
      <c r="E8" s="27">
        <v>20</v>
      </c>
      <c r="F8" s="28">
        <f>Costs!$M$116*Costs!$H$116</f>
        <v>8617.594254937163</v>
      </c>
      <c r="G8" s="26"/>
      <c r="H8" s="26" t="s">
        <v>508</v>
      </c>
      <c r="I8" s="28">
        <v>0</v>
      </c>
      <c r="J8" s="26">
        <v>50</v>
      </c>
      <c r="K8" s="26">
        <v>4.0999999999999996</v>
      </c>
      <c r="L8" s="26">
        <v>800</v>
      </c>
      <c r="M8" s="26">
        <v>10.1</v>
      </c>
      <c r="N8" s="26"/>
      <c r="O8" s="26"/>
      <c r="P8" s="29"/>
      <c r="Q8" s="26"/>
      <c r="R8" s="30"/>
      <c r="S8" s="31"/>
      <c r="T8" s="32"/>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row>
    <row r="9" spans="2:106">
      <c r="B9" s="26" t="s">
        <v>362</v>
      </c>
      <c r="C9" s="26" t="s">
        <v>362</v>
      </c>
      <c r="D9" s="27">
        <f>'PNW Solar Zones'!C3</f>
        <v>1120</v>
      </c>
      <c r="E9" s="27">
        <v>20</v>
      </c>
      <c r="F9" s="28">
        <f>Costs!$M$116*Costs!$H$116</f>
        <v>8617.594254937163</v>
      </c>
      <c r="G9" s="26"/>
      <c r="H9" s="26" t="s">
        <v>509</v>
      </c>
      <c r="I9" s="28">
        <v>0</v>
      </c>
      <c r="J9" s="26">
        <v>50</v>
      </c>
      <c r="K9" s="26">
        <v>4.0999999999999996</v>
      </c>
      <c r="L9" s="26">
        <v>800</v>
      </c>
      <c r="M9" s="26">
        <v>10.1</v>
      </c>
      <c r="N9" s="26"/>
      <c r="O9" s="26"/>
      <c r="P9" s="29"/>
      <c r="Q9" s="26"/>
      <c r="R9" s="30"/>
      <c r="S9" s="31"/>
      <c r="T9" s="32"/>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row>
    <row r="10" spans="2:106">
      <c r="B10" s="26" t="s">
        <v>363</v>
      </c>
      <c r="C10" s="26" t="s">
        <v>363</v>
      </c>
      <c r="D10" s="27">
        <f>'PNW Solar Zones'!C4</f>
        <v>1204</v>
      </c>
      <c r="E10" s="27">
        <v>20</v>
      </c>
      <c r="F10" s="28">
        <f>Costs!$M$116*Costs!$H$116</f>
        <v>8617.594254937163</v>
      </c>
      <c r="G10" s="26"/>
      <c r="H10" s="26" t="s">
        <v>510</v>
      </c>
      <c r="I10" s="28">
        <v>0</v>
      </c>
      <c r="J10" s="26">
        <v>50</v>
      </c>
      <c r="K10" s="26">
        <v>4.0999999999999996</v>
      </c>
      <c r="L10" s="26">
        <v>800</v>
      </c>
      <c r="M10" s="26">
        <v>10.1</v>
      </c>
      <c r="N10" s="26"/>
      <c r="O10" s="26"/>
      <c r="P10" s="29"/>
      <c r="Q10" s="26"/>
      <c r="R10" s="30"/>
      <c r="S10" s="31"/>
      <c r="T10" s="32"/>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row>
    <row r="11" spans="2:106">
      <c r="B11" s="26" t="s">
        <v>364</v>
      </c>
      <c r="C11" s="26" t="s">
        <v>364</v>
      </c>
      <c r="D11" s="27">
        <f>'PNW Solar Zones'!C5</f>
        <v>1400</v>
      </c>
      <c r="E11" s="27">
        <v>20</v>
      </c>
      <c r="F11" s="28">
        <f>Costs!$M$116*Costs!$H$116</f>
        <v>8617.594254937163</v>
      </c>
      <c r="G11" s="26"/>
      <c r="H11" s="26" t="s">
        <v>511</v>
      </c>
      <c r="I11" s="28">
        <v>0</v>
      </c>
      <c r="J11" s="26">
        <v>50</v>
      </c>
      <c r="K11" s="26">
        <v>4.0999999999999996</v>
      </c>
      <c r="L11" s="26">
        <v>800</v>
      </c>
      <c r="M11" s="26">
        <v>10.1</v>
      </c>
      <c r="N11" s="26"/>
      <c r="O11" s="26"/>
      <c r="P11" s="29"/>
      <c r="Q11" s="2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row>
    <row r="12" spans="2:106">
      <c r="B12" s="26" t="s">
        <v>365</v>
      </c>
      <c r="C12" s="26" t="s">
        <v>365</v>
      </c>
      <c r="D12" s="27">
        <f>'PNW Solar Zones'!C6</f>
        <v>1484</v>
      </c>
      <c r="E12" s="27">
        <v>20</v>
      </c>
      <c r="F12" s="28">
        <f>Costs!$M$116*Costs!$H$116</f>
        <v>8617.594254937163</v>
      </c>
      <c r="G12" s="26"/>
      <c r="H12" s="26" t="s">
        <v>512</v>
      </c>
      <c r="I12" s="28">
        <v>0</v>
      </c>
      <c r="J12" s="26">
        <v>50</v>
      </c>
      <c r="K12" s="26">
        <v>4.0999999999999996</v>
      </c>
      <c r="L12" s="26">
        <v>800</v>
      </c>
      <c r="M12" s="26">
        <v>10.1</v>
      </c>
      <c r="N12" s="26"/>
      <c r="O12" s="26"/>
      <c r="P12" s="29"/>
      <c r="Q12" s="2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row>
    <row r="13" spans="2:106">
      <c r="B13" s="26"/>
      <c r="C13" s="26"/>
      <c r="D13" s="27"/>
      <c r="E13" s="26"/>
      <c r="F13" s="28"/>
      <c r="G13" s="26"/>
      <c r="H13" s="26"/>
      <c r="I13" s="28"/>
      <c r="J13" s="26"/>
      <c r="K13" s="26"/>
      <c r="L13" s="26"/>
      <c r="M13" s="26"/>
      <c r="N13" s="26"/>
      <c r="O13" s="26"/>
      <c r="P13" s="29"/>
      <c r="Q13" s="2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row>
    <row r="14" spans="2:106">
      <c r="B14" s="26"/>
      <c r="C14" s="26"/>
      <c r="D14" s="27"/>
      <c r="E14" s="26"/>
      <c r="F14" s="28"/>
      <c r="G14" s="26"/>
      <c r="H14" s="26"/>
      <c r="I14" s="28"/>
      <c r="J14" s="26"/>
      <c r="K14" s="26"/>
      <c r="L14" s="26"/>
      <c r="M14" s="26"/>
      <c r="N14" s="26"/>
      <c r="O14" s="26"/>
      <c r="P14" s="29"/>
      <c r="Q14" s="2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row>
    <row r="15" spans="2:106">
      <c r="B15" s="26"/>
      <c r="C15" s="26"/>
      <c r="D15" s="27"/>
      <c r="E15" s="26"/>
      <c r="F15" s="28"/>
      <c r="G15" s="26"/>
      <c r="H15" s="26"/>
      <c r="I15" s="28"/>
      <c r="J15" s="26"/>
      <c r="K15" s="26"/>
      <c r="L15" s="26"/>
      <c r="M15" s="26"/>
      <c r="N15" s="26"/>
      <c r="O15" s="26"/>
      <c r="P15" s="29"/>
      <c r="Q15" s="2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row>
    <row r="16" spans="2:106">
      <c r="B16" s="26"/>
      <c r="C16" s="26"/>
      <c r="D16" s="27"/>
      <c r="E16" s="26"/>
      <c r="F16" s="28"/>
      <c r="G16" s="26"/>
      <c r="H16" s="26"/>
      <c r="I16" s="28"/>
      <c r="J16" s="26"/>
      <c r="K16" s="26"/>
      <c r="L16" s="26"/>
      <c r="M16" s="26"/>
      <c r="N16" s="26"/>
      <c r="O16" s="26"/>
      <c r="P16" s="29"/>
      <c r="Q16" s="2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row>
    <row r="17" spans="2:103">
      <c r="B17" s="26"/>
      <c r="C17" s="26"/>
      <c r="D17" s="27"/>
      <c r="E17" s="26"/>
      <c r="F17" s="28"/>
      <c r="G17" s="26"/>
      <c r="H17" s="26"/>
      <c r="I17" s="28"/>
      <c r="J17" s="26"/>
      <c r="K17" s="26"/>
      <c r="L17" s="26"/>
      <c r="M17" s="26"/>
      <c r="N17" s="26"/>
      <c r="O17" s="26"/>
      <c r="P17" s="29"/>
      <c r="Q17" s="26"/>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row>
    <row r="18" spans="2:103">
      <c r="B18" s="26"/>
      <c r="C18" s="26"/>
      <c r="D18" s="27"/>
      <c r="E18" s="26"/>
      <c r="F18" s="28"/>
      <c r="G18" s="26"/>
      <c r="H18" s="26"/>
      <c r="I18" s="28"/>
      <c r="J18" s="26"/>
      <c r="K18" s="26"/>
      <c r="L18" s="26"/>
      <c r="M18" s="26"/>
      <c r="N18" s="26"/>
      <c r="O18" s="26"/>
      <c r="P18" s="29"/>
      <c r="Q18" s="26"/>
      <c r="R18" s="33"/>
      <c r="S18" s="33"/>
      <c r="T18" s="33"/>
      <c r="U18" s="33"/>
      <c r="V18" s="33"/>
      <c r="W18" s="33"/>
      <c r="X18" s="33"/>
      <c r="Y18" s="33"/>
      <c r="Z18" s="33"/>
      <c r="AA18" s="33"/>
      <c r="AB18" s="33"/>
      <c r="AC18" s="33"/>
      <c r="AD18" s="33"/>
      <c r="AE18" s="33"/>
      <c r="AF18" s="33"/>
      <c r="AG18" s="33"/>
      <c r="AH18" s="33"/>
      <c r="AI18" s="33"/>
      <c r="AJ18" s="33"/>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row>
    <row r="19" spans="2:103">
      <c r="B19" s="26"/>
      <c r="C19" s="26"/>
      <c r="D19" s="27"/>
      <c r="E19" s="26"/>
      <c r="F19" s="28"/>
      <c r="G19" s="26"/>
      <c r="H19" s="26"/>
      <c r="I19" s="28"/>
      <c r="J19" s="26"/>
      <c r="K19" s="26"/>
      <c r="L19" s="26"/>
      <c r="M19" s="26"/>
      <c r="N19" s="26"/>
      <c r="O19" s="26"/>
      <c r="P19" s="29"/>
      <c r="Q19" s="26"/>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row>
    <row r="20" spans="2:103">
      <c r="B20" s="26"/>
      <c r="C20" s="26"/>
      <c r="D20" s="27"/>
      <c r="E20" s="26"/>
      <c r="F20" s="28"/>
      <c r="G20" s="26"/>
      <c r="H20" s="26"/>
      <c r="I20" s="28"/>
      <c r="J20" s="26"/>
      <c r="K20" s="26"/>
      <c r="L20" s="26"/>
      <c r="M20" s="26"/>
      <c r="N20" s="26"/>
      <c r="O20" s="26"/>
      <c r="P20" s="29"/>
      <c r="Q20" s="26"/>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row>
    <row r="21" spans="2:103">
      <c r="B21" s="26"/>
      <c r="C21" s="26"/>
      <c r="D21" s="27"/>
      <c r="E21" s="26"/>
      <c r="F21" s="28"/>
      <c r="G21" s="26"/>
      <c r="H21" s="26"/>
      <c r="I21" s="28"/>
      <c r="J21" s="26"/>
      <c r="K21" s="26"/>
      <c r="L21" s="26"/>
      <c r="M21" s="26"/>
      <c r="N21" s="26"/>
      <c r="O21" s="26"/>
      <c r="P21" s="29"/>
      <c r="Q21" s="26"/>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row>
    <row r="22" spans="2:103">
      <c r="B22" s="26"/>
      <c r="C22" s="26"/>
      <c r="D22" s="27"/>
      <c r="E22" s="26"/>
      <c r="F22" s="28"/>
      <c r="G22" s="26"/>
      <c r="H22" s="26"/>
      <c r="I22" s="28"/>
      <c r="J22" s="26"/>
      <c r="K22" s="26"/>
      <c r="L22" s="26"/>
      <c r="M22" s="26"/>
      <c r="N22" s="26"/>
      <c r="O22" s="26"/>
      <c r="P22" s="29"/>
      <c r="Q22" s="26"/>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row>
    <row r="25" spans="2:103" customFormat="1"/>
    <row r="26" spans="2:103" customFormat="1"/>
    <row r="27" spans="2:103" customFormat="1"/>
    <row r="28" spans="2:103" customFormat="1"/>
    <row r="29" spans="2:103" customFormat="1"/>
    <row r="30" spans="2:103" customFormat="1"/>
    <row r="31" spans="2:103" customFormat="1"/>
    <row r="32" spans="2:10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spans="4:102" customFormat="1"/>
    <row r="178" spans="4:102" customFormat="1"/>
    <row r="179" spans="4:102" customFormat="1"/>
    <row r="180" spans="4:102" customFormat="1"/>
    <row r="181" spans="4:102">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row>
    <row r="182" spans="4:102">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row>
    <row r="183" spans="4:102">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row>
    <row r="184" spans="4:102">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row>
    <row r="185" spans="4:102">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row>
    <row r="186" spans="4:102">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row>
    <row r="187" spans="4:102">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row>
    <row r="188" spans="4:102">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row>
    <row r="189" spans="4:102">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row>
    <row r="190" spans="4:102">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row>
    <row r="191" spans="4:102">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row>
    <row r="192" spans="4:102">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row>
    <row r="193" spans="4:102">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row>
    <row r="194" spans="4:102">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row>
    <row r="195" spans="4:102">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row>
    <row r="196" spans="4:102">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row>
    <row r="197" spans="4:102">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row>
    <row r="198" spans="4:102">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row>
    <row r="199" spans="4:102">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row>
    <row r="200" spans="4:102">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row>
    <row r="201" spans="4:102">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row>
    <row r="202" spans="4:102">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row>
    <row r="203" spans="4:102">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row>
    <row r="204" spans="4:102">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row>
    <row r="205" spans="4:102">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row>
    <row r="206" spans="4:102">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row>
    <row r="207" spans="4:102">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row>
    <row r="208" spans="4:102">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row>
    <row r="209" spans="4:102">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row>
    <row r="210" spans="4:102">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row>
    <row r="211" spans="4:102">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row>
    <row r="212" spans="4:102">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row>
    <row r="213" spans="4:102">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row>
    <row r="214" spans="4:102">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row>
    <row r="215" spans="4:102">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row>
    <row r="216" spans="4:102">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row>
    <row r="217" spans="4:102">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row>
    <row r="218" spans="4:102">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row>
    <row r="219" spans="4:102">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row>
    <row r="220" spans="4:102">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row>
    <row r="221" spans="4:102">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row>
    <row r="222" spans="4:102">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row>
    <row r="223" spans="4:102">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row>
  </sheetData>
  <mergeCells count="2">
    <mergeCell ref="J6:O6"/>
    <mergeCell ref="P6:Q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7"/>
  <dimension ref="A1:N118"/>
  <sheetViews>
    <sheetView topLeftCell="A103" workbookViewId="0">
      <selection activeCell="N115" sqref="N115:N116"/>
    </sheetView>
  </sheetViews>
  <sheetFormatPr defaultRowHeight="12.75"/>
  <cols>
    <col min="4" max="4" width="15.85546875" customWidth="1"/>
    <col min="11" max="11" width="9.7109375" customWidth="1"/>
    <col min="14" max="14" width="10.28515625" bestFit="1" customWidth="1"/>
  </cols>
  <sheetData>
    <row r="1" spans="1:14">
      <c r="A1" t="s">
        <v>355</v>
      </c>
    </row>
    <row r="3" spans="1:14">
      <c r="A3" t="s">
        <v>219</v>
      </c>
      <c r="B3" t="s">
        <v>220</v>
      </c>
      <c r="C3" t="s">
        <v>221</v>
      </c>
      <c r="D3" t="s">
        <v>222</v>
      </c>
      <c r="E3" t="s">
        <v>223</v>
      </c>
      <c r="F3" t="s">
        <v>224</v>
      </c>
      <c r="G3" t="s">
        <v>225</v>
      </c>
      <c r="H3" s="97" t="s">
        <v>226</v>
      </c>
      <c r="I3" s="97" t="s">
        <v>227</v>
      </c>
      <c r="J3" s="97" t="s">
        <v>228</v>
      </c>
      <c r="K3" s="98" t="s">
        <v>229</v>
      </c>
      <c r="L3" s="97" t="s">
        <v>356</v>
      </c>
      <c r="M3" s="97" t="s">
        <v>357</v>
      </c>
      <c r="N3" s="97" t="s">
        <v>725</v>
      </c>
    </row>
    <row r="4" spans="1:14">
      <c r="A4" t="s">
        <v>230</v>
      </c>
      <c r="B4" t="s">
        <v>231</v>
      </c>
      <c r="C4" t="s">
        <v>232</v>
      </c>
      <c r="D4" t="s">
        <v>233</v>
      </c>
      <c r="E4" t="s">
        <v>234</v>
      </c>
      <c r="F4">
        <v>2013</v>
      </c>
      <c r="G4" t="s">
        <v>235</v>
      </c>
      <c r="H4" s="97">
        <v>0</v>
      </c>
      <c r="I4" s="97">
        <v>0</v>
      </c>
      <c r="J4" s="97">
        <v>475</v>
      </c>
      <c r="K4" s="98">
        <v>19990</v>
      </c>
      <c r="L4" t="str">
        <f>IF(E4="ELE",I4/H4,"")</f>
        <v/>
      </c>
      <c r="M4" s="99" t="str">
        <f>IFERROR(K4/H4,"")</f>
        <v/>
      </c>
      <c r="N4" t="str">
        <f>IF(E4="GAS","",K4)</f>
        <v/>
      </c>
    </row>
    <row r="5" spans="1:14">
      <c r="A5" t="s">
        <v>236</v>
      </c>
      <c r="B5" t="s">
        <v>231</v>
      </c>
      <c r="C5" t="s">
        <v>232</v>
      </c>
      <c r="D5" t="s">
        <v>233</v>
      </c>
      <c r="E5" t="s">
        <v>234</v>
      </c>
      <c r="F5">
        <v>2014</v>
      </c>
      <c r="G5" t="s">
        <v>235</v>
      </c>
      <c r="H5" s="97">
        <v>1503.8</v>
      </c>
      <c r="I5" s="97">
        <v>0</v>
      </c>
      <c r="J5" s="97">
        <v>4329</v>
      </c>
      <c r="K5" s="98">
        <v>268400</v>
      </c>
      <c r="L5" t="str">
        <f t="shared" ref="L5:L56" si="0">IF(E5="ELE",I5/H5,"")</f>
        <v/>
      </c>
      <c r="M5" s="99">
        <f t="shared" ref="M5:M56" si="1">IFERROR(K5/H5,"")</f>
        <v>178.4811810081128</v>
      </c>
      <c r="N5" t="str">
        <f t="shared" ref="N5:N68" si="2">IF(E5="GAS","",K5)</f>
        <v/>
      </c>
    </row>
    <row r="6" spans="1:14">
      <c r="A6" t="s">
        <v>240</v>
      </c>
      <c r="B6" t="s">
        <v>237</v>
      </c>
      <c r="C6" t="s">
        <v>239</v>
      </c>
      <c r="D6" t="s">
        <v>241</v>
      </c>
      <c r="E6" t="s">
        <v>238</v>
      </c>
      <c r="F6">
        <v>2013</v>
      </c>
      <c r="G6" t="s">
        <v>235</v>
      </c>
      <c r="H6" s="97">
        <v>145.5</v>
      </c>
      <c r="I6" s="97">
        <v>3878</v>
      </c>
      <c r="J6" s="97">
        <v>0</v>
      </c>
      <c r="K6" s="98">
        <v>24000</v>
      </c>
      <c r="L6">
        <f t="shared" si="0"/>
        <v>26.652920962199314</v>
      </c>
      <c r="M6" s="99">
        <f t="shared" si="1"/>
        <v>164.94845360824743</v>
      </c>
      <c r="N6">
        <f t="shared" si="2"/>
        <v>24000</v>
      </c>
    </row>
    <row r="7" spans="1:14">
      <c r="A7" t="s">
        <v>242</v>
      </c>
      <c r="B7" t="s">
        <v>243</v>
      </c>
      <c r="D7" t="s">
        <v>244</v>
      </c>
      <c r="E7" t="s">
        <v>234</v>
      </c>
      <c r="F7">
        <v>2012</v>
      </c>
      <c r="G7" t="s">
        <v>235</v>
      </c>
      <c r="H7" s="97">
        <v>56</v>
      </c>
      <c r="I7" s="97">
        <v>0</v>
      </c>
      <c r="J7" s="97">
        <v>81</v>
      </c>
      <c r="K7" s="98">
        <v>10400</v>
      </c>
      <c r="L7" t="str">
        <f t="shared" si="0"/>
        <v/>
      </c>
      <c r="M7" s="99">
        <f t="shared" si="1"/>
        <v>185.71428571428572</v>
      </c>
      <c r="N7" t="str">
        <f t="shared" si="2"/>
        <v/>
      </c>
    </row>
    <row r="8" spans="1:14">
      <c r="A8" t="s">
        <v>245</v>
      </c>
      <c r="B8" t="s">
        <v>243</v>
      </c>
      <c r="D8" t="s">
        <v>244</v>
      </c>
      <c r="E8" t="s">
        <v>238</v>
      </c>
      <c r="F8">
        <v>2012</v>
      </c>
      <c r="G8" t="s">
        <v>235</v>
      </c>
      <c r="H8" s="97">
        <v>64</v>
      </c>
      <c r="I8" s="97">
        <v>2646</v>
      </c>
      <c r="J8" s="97">
        <v>0</v>
      </c>
      <c r="K8" s="98">
        <v>8500</v>
      </c>
      <c r="L8">
        <f t="shared" si="0"/>
        <v>41.34375</v>
      </c>
      <c r="M8" s="99">
        <f t="shared" si="1"/>
        <v>132.8125</v>
      </c>
      <c r="N8">
        <f t="shared" si="2"/>
        <v>8500</v>
      </c>
    </row>
    <row r="9" spans="1:14">
      <c r="A9" t="s">
        <v>246</v>
      </c>
      <c r="B9" t="s">
        <v>243</v>
      </c>
      <c r="D9" t="s">
        <v>244</v>
      </c>
      <c r="E9" t="s">
        <v>238</v>
      </c>
      <c r="F9">
        <v>2012</v>
      </c>
      <c r="G9" t="s">
        <v>235</v>
      </c>
      <c r="H9" s="97">
        <v>64</v>
      </c>
      <c r="I9" s="97">
        <v>2236</v>
      </c>
      <c r="J9" s="97">
        <v>0</v>
      </c>
      <c r="K9" s="98">
        <v>8500</v>
      </c>
      <c r="L9">
        <f t="shared" si="0"/>
        <v>34.9375</v>
      </c>
      <c r="M9" s="99">
        <f t="shared" si="1"/>
        <v>132.8125</v>
      </c>
      <c r="N9">
        <f t="shared" si="2"/>
        <v>8500</v>
      </c>
    </row>
    <row r="10" spans="1:14">
      <c r="A10" t="s">
        <v>247</v>
      </c>
      <c r="B10" t="s">
        <v>243</v>
      </c>
      <c r="D10" t="s">
        <v>244</v>
      </c>
      <c r="E10" t="s">
        <v>238</v>
      </c>
      <c r="F10">
        <v>2012</v>
      </c>
      <c r="G10" t="s">
        <v>235</v>
      </c>
      <c r="H10" s="97">
        <v>41</v>
      </c>
      <c r="I10" s="97">
        <v>2430</v>
      </c>
      <c r="J10" s="97">
        <v>0</v>
      </c>
      <c r="K10" s="98">
        <v>8082</v>
      </c>
      <c r="L10">
        <f t="shared" si="0"/>
        <v>59.268292682926827</v>
      </c>
      <c r="M10" s="99">
        <f t="shared" si="1"/>
        <v>197.1219512195122</v>
      </c>
      <c r="N10">
        <f t="shared" si="2"/>
        <v>8082</v>
      </c>
    </row>
    <row r="11" spans="1:14">
      <c r="A11" t="s">
        <v>248</v>
      </c>
      <c r="B11" t="s">
        <v>243</v>
      </c>
      <c r="D11" t="s">
        <v>244</v>
      </c>
      <c r="E11" t="s">
        <v>234</v>
      </c>
      <c r="F11">
        <v>2012</v>
      </c>
      <c r="G11" t="s">
        <v>235</v>
      </c>
      <c r="H11" s="97">
        <v>65</v>
      </c>
      <c r="I11" s="97">
        <v>0</v>
      </c>
      <c r="J11" s="97">
        <v>134</v>
      </c>
      <c r="K11" s="98">
        <v>7892</v>
      </c>
      <c r="L11" t="str">
        <f t="shared" si="0"/>
        <v/>
      </c>
      <c r="M11" s="99">
        <f t="shared" si="1"/>
        <v>121.41538461538461</v>
      </c>
      <c r="N11" t="str">
        <f t="shared" si="2"/>
        <v/>
      </c>
    </row>
    <row r="12" spans="1:14">
      <c r="A12" t="s">
        <v>249</v>
      </c>
      <c r="B12" t="s">
        <v>243</v>
      </c>
      <c r="D12" t="s">
        <v>244</v>
      </c>
      <c r="E12" t="s">
        <v>238</v>
      </c>
      <c r="F12">
        <v>2012</v>
      </c>
      <c r="G12" t="s">
        <v>235</v>
      </c>
      <c r="H12" s="97">
        <v>54</v>
      </c>
      <c r="I12" s="97">
        <v>2708</v>
      </c>
      <c r="J12" s="97">
        <v>0</v>
      </c>
      <c r="K12" s="98">
        <v>8250</v>
      </c>
      <c r="L12">
        <f t="shared" si="0"/>
        <v>50.148148148148145</v>
      </c>
      <c r="M12" s="99">
        <f t="shared" si="1"/>
        <v>152.77777777777777</v>
      </c>
      <c r="N12">
        <f t="shared" si="2"/>
        <v>8250</v>
      </c>
    </row>
    <row r="13" spans="1:14">
      <c r="A13" t="s">
        <v>250</v>
      </c>
      <c r="B13" t="s">
        <v>243</v>
      </c>
      <c r="D13" t="s">
        <v>244</v>
      </c>
      <c r="E13" t="s">
        <v>234</v>
      </c>
      <c r="F13">
        <v>2012</v>
      </c>
      <c r="G13" t="s">
        <v>235</v>
      </c>
      <c r="H13" s="97">
        <v>52</v>
      </c>
      <c r="I13" s="97">
        <v>0</v>
      </c>
      <c r="J13" s="97">
        <v>92</v>
      </c>
      <c r="K13" s="98">
        <v>7500</v>
      </c>
      <c r="L13" t="str">
        <f t="shared" si="0"/>
        <v/>
      </c>
      <c r="M13" s="99">
        <f t="shared" si="1"/>
        <v>144.23076923076923</v>
      </c>
      <c r="N13" t="str">
        <f t="shared" si="2"/>
        <v/>
      </c>
    </row>
    <row r="14" spans="1:14">
      <c r="A14" t="s">
        <v>251</v>
      </c>
      <c r="B14" t="s">
        <v>243</v>
      </c>
      <c r="D14" t="s">
        <v>244</v>
      </c>
      <c r="E14" t="s">
        <v>238</v>
      </c>
      <c r="F14">
        <v>2012</v>
      </c>
      <c r="G14" t="s">
        <v>235</v>
      </c>
      <c r="H14" s="97">
        <v>54</v>
      </c>
      <c r="I14" s="97">
        <v>2680</v>
      </c>
      <c r="J14" s="97">
        <v>0</v>
      </c>
      <c r="K14" s="98">
        <v>8000</v>
      </c>
      <c r="L14">
        <f t="shared" si="0"/>
        <v>49.629629629629626</v>
      </c>
      <c r="M14" s="99">
        <f t="shared" si="1"/>
        <v>148.14814814814815</v>
      </c>
      <c r="N14">
        <f t="shared" si="2"/>
        <v>8000</v>
      </c>
    </row>
    <row r="15" spans="1:14">
      <c r="A15" t="s">
        <v>252</v>
      </c>
      <c r="B15" t="s">
        <v>243</v>
      </c>
      <c r="D15" t="s">
        <v>244</v>
      </c>
      <c r="E15" t="s">
        <v>238</v>
      </c>
      <c r="F15">
        <v>2012</v>
      </c>
      <c r="G15" t="s">
        <v>235</v>
      </c>
      <c r="H15" s="97">
        <v>54</v>
      </c>
      <c r="I15" s="97">
        <v>2670</v>
      </c>
      <c r="J15" s="97">
        <v>0</v>
      </c>
      <c r="K15" s="98">
        <v>8030</v>
      </c>
      <c r="L15">
        <f t="shared" si="0"/>
        <v>49.444444444444443</v>
      </c>
      <c r="M15" s="99">
        <f t="shared" si="1"/>
        <v>148.7037037037037</v>
      </c>
      <c r="N15">
        <f t="shared" si="2"/>
        <v>8030</v>
      </c>
    </row>
    <row r="16" spans="1:14">
      <c r="A16" t="s">
        <v>253</v>
      </c>
      <c r="B16" t="s">
        <v>243</v>
      </c>
      <c r="D16" t="s">
        <v>244</v>
      </c>
      <c r="E16" t="s">
        <v>238</v>
      </c>
      <c r="F16">
        <v>2012</v>
      </c>
      <c r="G16" t="s">
        <v>235</v>
      </c>
      <c r="H16" s="97">
        <v>50</v>
      </c>
      <c r="I16" s="97">
        <v>1696</v>
      </c>
      <c r="J16" s="97">
        <v>0</v>
      </c>
      <c r="K16" s="98">
        <v>8350</v>
      </c>
      <c r="L16">
        <f t="shared" si="0"/>
        <v>33.92</v>
      </c>
      <c r="M16" s="99">
        <f t="shared" si="1"/>
        <v>167</v>
      </c>
      <c r="N16">
        <f t="shared" si="2"/>
        <v>8350</v>
      </c>
    </row>
    <row r="17" spans="1:14">
      <c r="A17" t="s">
        <v>254</v>
      </c>
      <c r="B17" t="s">
        <v>243</v>
      </c>
      <c r="D17" t="s">
        <v>244</v>
      </c>
      <c r="E17" t="s">
        <v>238</v>
      </c>
      <c r="F17">
        <v>2012</v>
      </c>
      <c r="G17" t="s">
        <v>235</v>
      </c>
      <c r="H17" s="97">
        <v>50</v>
      </c>
      <c r="I17" s="97">
        <v>1696</v>
      </c>
      <c r="J17" s="97">
        <v>0</v>
      </c>
      <c r="K17" s="98">
        <v>8350</v>
      </c>
      <c r="L17">
        <f t="shared" si="0"/>
        <v>33.92</v>
      </c>
      <c r="M17" s="99">
        <f t="shared" si="1"/>
        <v>167</v>
      </c>
      <c r="N17">
        <f t="shared" si="2"/>
        <v>8350</v>
      </c>
    </row>
    <row r="18" spans="1:14">
      <c r="A18" t="s">
        <v>255</v>
      </c>
      <c r="B18" t="s">
        <v>243</v>
      </c>
      <c r="C18" t="s">
        <v>256</v>
      </c>
      <c r="D18" t="s">
        <v>244</v>
      </c>
      <c r="E18" t="s">
        <v>238</v>
      </c>
      <c r="F18">
        <v>2012</v>
      </c>
      <c r="G18" t="s">
        <v>235</v>
      </c>
      <c r="H18" s="97">
        <v>50</v>
      </c>
      <c r="I18" s="97">
        <v>1696</v>
      </c>
      <c r="J18" s="97">
        <v>0</v>
      </c>
      <c r="K18" s="98">
        <v>8350</v>
      </c>
      <c r="L18">
        <f t="shared" si="0"/>
        <v>33.92</v>
      </c>
      <c r="M18" s="99">
        <f t="shared" si="1"/>
        <v>167</v>
      </c>
      <c r="N18">
        <f t="shared" si="2"/>
        <v>8350</v>
      </c>
    </row>
    <row r="19" spans="1:14">
      <c r="A19" t="s">
        <v>257</v>
      </c>
      <c r="B19" t="s">
        <v>243</v>
      </c>
      <c r="D19" t="s">
        <v>244</v>
      </c>
      <c r="E19" t="s">
        <v>238</v>
      </c>
      <c r="F19">
        <v>2012</v>
      </c>
      <c r="G19" t="s">
        <v>235</v>
      </c>
      <c r="H19" s="97">
        <v>50</v>
      </c>
      <c r="I19" s="97">
        <v>1696</v>
      </c>
      <c r="J19" s="97">
        <v>0</v>
      </c>
      <c r="K19" s="98">
        <v>8350</v>
      </c>
      <c r="L19">
        <f t="shared" si="0"/>
        <v>33.92</v>
      </c>
      <c r="M19" s="99">
        <f t="shared" si="1"/>
        <v>167</v>
      </c>
      <c r="N19">
        <f t="shared" si="2"/>
        <v>8350</v>
      </c>
    </row>
    <row r="20" spans="1:14">
      <c r="A20" t="s">
        <v>258</v>
      </c>
      <c r="B20" t="s">
        <v>243</v>
      </c>
      <c r="D20" t="s">
        <v>244</v>
      </c>
      <c r="E20" t="s">
        <v>238</v>
      </c>
      <c r="F20">
        <v>2012</v>
      </c>
      <c r="G20" t="s">
        <v>235</v>
      </c>
      <c r="H20" s="97">
        <v>50</v>
      </c>
      <c r="I20" s="97">
        <v>1696</v>
      </c>
      <c r="J20" s="97">
        <v>0</v>
      </c>
      <c r="K20" s="98">
        <v>8350</v>
      </c>
      <c r="L20">
        <f t="shared" si="0"/>
        <v>33.92</v>
      </c>
      <c r="M20" s="99">
        <f t="shared" si="1"/>
        <v>167</v>
      </c>
      <c r="N20">
        <f t="shared" si="2"/>
        <v>8350</v>
      </c>
    </row>
    <row r="21" spans="1:14">
      <c r="A21" t="s">
        <v>259</v>
      </c>
      <c r="B21" t="s">
        <v>243</v>
      </c>
      <c r="D21" t="s">
        <v>244</v>
      </c>
      <c r="E21" t="s">
        <v>238</v>
      </c>
      <c r="F21">
        <v>2012</v>
      </c>
      <c r="G21" t="s">
        <v>235</v>
      </c>
      <c r="H21" s="97">
        <v>50</v>
      </c>
      <c r="I21" s="97">
        <v>1696</v>
      </c>
      <c r="J21" s="97">
        <v>0</v>
      </c>
      <c r="K21" s="98">
        <v>8350</v>
      </c>
      <c r="L21">
        <f t="shared" si="0"/>
        <v>33.92</v>
      </c>
      <c r="M21" s="99">
        <f t="shared" si="1"/>
        <v>167</v>
      </c>
      <c r="N21">
        <f t="shared" si="2"/>
        <v>8350</v>
      </c>
    </row>
    <row r="22" spans="1:14">
      <c r="A22" t="s">
        <v>260</v>
      </c>
      <c r="B22" t="s">
        <v>243</v>
      </c>
      <c r="D22" t="s">
        <v>244</v>
      </c>
      <c r="E22" t="s">
        <v>238</v>
      </c>
      <c r="F22">
        <v>2012</v>
      </c>
      <c r="G22" t="s">
        <v>235</v>
      </c>
      <c r="H22" s="97">
        <v>50</v>
      </c>
      <c r="I22" s="97">
        <v>1696</v>
      </c>
      <c r="J22" s="97">
        <v>0</v>
      </c>
      <c r="K22" s="98">
        <v>8350</v>
      </c>
      <c r="L22">
        <f t="shared" si="0"/>
        <v>33.92</v>
      </c>
      <c r="M22" s="99">
        <f t="shared" si="1"/>
        <v>167</v>
      </c>
      <c r="N22">
        <f t="shared" si="2"/>
        <v>8350</v>
      </c>
    </row>
    <row r="23" spans="1:14">
      <c r="A23" t="s">
        <v>261</v>
      </c>
      <c r="B23" t="s">
        <v>243</v>
      </c>
      <c r="D23" t="s">
        <v>244</v>
      </c>
      <c r="E23" t="s">
        <v>238</v>
      </c>
      <c r="F23">
        <v>2012</v>
      </c>
      <c r="G23" t="s">
        <v>235</v>
      </c>
      <c r="H23" s="97">
        <v>50</v>
      </c>
      <c r="I23" s="97">
        <v>1696</v>
      </c>
      <c r="J23" s="97">
        <v>0</v>
      </c>
      <c r="K23" s="98">
        <v>8350</v>
      </c>
      <c r="L23">
        <f t="shared" si="0"/>
        <v>33.92</v>
      </c>
      <c r="M23" s="99">
        <f t="shared" si="1"/>
        <v>167</v>
      </c>
      <c r="N23">
        <f t="shared" si="2"/>
        <v>8350</v>
      </c>
    </row>
    <row r="24" spans="1:14">
      <c r="A24" t="s">
        <v>262</v>
      </c>
      <c r="B24" t="s">
        <v>243</v>
      </c>
      <c r="D24" t="s">
        <v>244</v>
      </c>
      <c r="E24" t="s">
        <v>238</v>
      </c>
      <c r="F24">
        <v>2012</v>
      </c>
      <c r="G24" t="s">
        <v>235</v>
      </c>
      <c r="H24" s="97">
        <v>50</v>
      </c>
      <c r="I24" s="97">
        <v>1696</v>
      </c>
      <c r="J24" s="97">
        <v>0</v>
      </c>
      <c r="K24" s="98">
        <v>8350</v>
      </c>
      <c r="L24">
        <f t="shared" si="0"/>
        <v>33.92</v>
      </c>
      <c r="M24" s="99">
        <f t="shared" si="1"/>
        <v>167</v>
      </c>
      <c r="N24">
        <f t="shared" si="2"/>
        <v>8350</v>
      </c>
    </row>
    <row r="25" spans="1:14">
      <c r="A25" t="s">
        <v>263</v>
      </c>
      <c r="B25" t="s">
        <v>243</v>
      </c>
      <c r="D25" t="s">
        <v>244</v>
      </c>
      <c r="E25" t="s">
        <v>238</v>
      </c>
      <c r="F25">
        <v>2012</v>
      </c>
      <c r="G25" t="s">
        <v>235</v>
      </c>
      <c r="H25" s="97">
        <v>50</v>
      </c>
      <c r="I25" s="97">
        <v>1696</v>
      </c>
      <c r="J25" s="97">
        <v>0</v>
      </c>
      <c r="K25" s="98">
        <v>8350</v>
      </c>
      <c r="L25">
        <f t="shared" si="0"/>
        <v>33.92</v>
      </c>
      <c r="M25" s="99">
        <f t="shared" si="1"/>
        <v>167</v>
      </c>
      <c r="N25">
        <f t="shared" si="2"/>
        <v>8350</v>
      </c>
    </row>
    <row r="26" spans="1:14">
      <c r="A26" t="s">
        <v>264</v>
      </c>
      <c r="B26" t="s">
        <v>243</v>
      </c>
      <c r="D26" t="s">
        <v>244</v>
      </c>
      <c r="E26" t="s">
        <v>238</v>
      </c>
      <c r="F26">
        <v>2012</v>
      </c>
      <c r="G26" t="s">
        <v>235</v>
      </c>
      <c r="H26" s="97">
        <v>50</v>
      </c>
      <c r="I26" s="97">
        <v>1696</v>
      </c>
      <c r="J26" s="97">
        <v>0</v>
      </c>
      <c r="K26" s="98">
        <v>8350</v>
      </c>
      <c r="L26">
        <f t="shared" si="0"/>
        <v>33.92</v>
      </c>
      <c r="M26" s="99">
        <f t="shared" si="1"/>
        <v>167</v>
      </c>
      <c r="N26">
        <f t="shared" si="2"/>
        <v>8350</v>
      </c>
    </row>
    <row r="27" spans="1:14">
      <c r="A27" t="s">
        <v>265</v>
      </c>
      <c r="B27" t="s">
        <v>243</v>
      </c>
      <c r="D27" t="s">
        <v>244</v>
      </c>
      <c r="E27" t="s">
        <v>238</v>
      </c>
      <c r="F27">
        <v>2012</v>
      </c>
      <c r="G27" t="s">
        <v>235</v>
      </c>
      <c r="H27" s="97">
        <v>50</v>
      </c>
      <c r="I27" s="97">
        <v>1696</v>
      </c>
      <c r="J27" s="97">
        <v>0</v>
      </c>
      <c r="K27" s="98">
        <v>8350</v>
      </c>
      <c r="L27">
        <f t="shared" si="0"/>
        <v>33.92</v>
      </c>
      <c r="M27" s="99">
        <f t="shared" si="1"/>
        <v>167</v>
      </c>
      <c r="N27">
        <f t="shared" si="2"/>
        <v>8350</v>
      </c>
    </row>
    <row r="28" spans="1:14">
      <c r="A28" t="s">
        <v>266</v>
      </c>
      <c r="B28" t="s">
        <v>243</v>
      </c>
      <c r="D28" t="s">
        <v>244</v>
      </c>
      <c r="E28" t="s">
        <v>238</v>
      </c>
      <c r="F28">
        <v>2012</v>
      </c>
      <c r="G28" t="s">
        <v>235</v>
      </c>
      <c r="H28" s="97">
        <v>88</v>
      </c>
      <c r="I28" s="97">
        <v>0</v>
      </c>
      <c r="J28" s="97">
        <v>132</v>
      </c>
      <c r="K28" s="98">
        <v>22440</v>
      </c>
      <c r="L28">
        <f t="shared" si="0"/>
        <v>0</v>
      </c>
      <c r="M28" s="99">
        <f t="shared" si="1"/>
        <v>255</v>
      </c>
      <c r="N28">
        <f t="shared" si="2"/>
        <v>22440</v>
      </c>
    </row>
    <row r="29" spans="1:14">
      <c r="A29" t="s">
        <v>267</v>
      </c>
      <c r="B29" t="s">
        <v>243</v>
      </c>
      <c r="D29" t="s">
        <v>244</v>
      </c>
      <c r="E29" t="s">
        <v>234</v>
      </c>
      <c r="F29">
        <v>2013</v>
      </c>
      <c r="G29" t="s">
        <v>235</v>
      </c>
      <c r="H29" s="97">
        <v>45</v>
      </c>
      <c r="I29" s="97">
        <v>0</v>
      </c>
      <c r="J29" s="97">
        <v>97</v>
      </c>
      <c r="K29" s="98">
        <v>18047</v>
      </c>
      <c r="L29" t="str">
        <f t="shared" si="0"/>
        <v/>
      </c>
      <c r="M29" s="99">
        <f t="shared" si="1"/>
        <v>401.04444444444442</v>
      </c>
      <c r="N29" t="str">
        <f t="shared" si="2"/>
        <v/>
      </c>
    </row>
    <row r="30" spans="1:14">
      <c r="A30" t="s">
        <v>268</v>
      </c>
      <c r="B30" t="s">
        <v>243</v>
      </c>
      <c r="D30" t="s">
        <v>244</v>
      </c>
      <c r="E30" t="s">
        <v>234</v>
      </c>
      <c r="F30">
        <v>2013</v>
      </c>
      <c r="G30" t="s">
        <v>235</v>
      </c>
      <c r="H30" s="97">
        <v>90</v>
      </c>
      <c r="I30" s="97">
        <v>0</v>
      </c>
      <c r="J30" s="97">
        <v>132</v>
      </c>
      <c r="K30" s="98">
        <v>19917</v>
      </c>
      <c r="L30" t="str">
        <f t="shared" si="0"/>
        <v/>
      </c>
      <c r="M30" s="99">
        <f t="shared" si="1"/>
        <v>221.3</v>
      </c>
      <c r="N30" t="str">
        <f t="shared" si="2"/>
        <v/>
      </c>
    </row>
    <row r="31" spans="1:14">
      <c r="A31" t="s">
        <v>269</v>
      </c>
      <c r="B31" t="s">
        <v>243</v>
      </c>
      <c r="D31" t="s">
        <v>244</v>
      </c>
      <c r="E31" t="s">
        <v>238</v>
      </c>
      <c r="F31">
        <v>2013</v>
      </c>
      <c r="G31" t="s">
        <v>235</v>
      </c>
      <c r="H31" s="97">
        <v>44</v>
      </c>
      <c r="I31" s="97">
        <v>2554</v>
      </c>
      <c r="J31" s="97">
        <v>0</v>
      </c>
      <c r="K31" s="98">
        <v>7713</v>
      </c>
      <c r="L31">
        <f t="shared" si="0"/>
        <v>58.045454545454547</v>
      </c>
      <c r="M31" s="99">
        <f t="shared" si="1"/>
        <v>175.29545454545453</v>
      </c>
      <c r="N31">
        <f t="shared" si="2"/>
        <v>7713</v>
      </c>
    </row>
    <row r="32" spans="1:14">
      <c r="A32" t="s">
        <v>270</v>
      </c>
      <c r="B32" t="s">
        <v>243</v>
      </c>
      <c r="C32" t="s">
        <v>271</v>
      </c>
      <c r="D32" t="s">
        <v>244</v>
      </c>
      <c r="E32" t="s">
        <v>238</v>
      </c>
      <c r="F32">
        <v>2013</v>
      </c>
      <c r="G32" t="s">
        <v>235</v>
      </c>
      <c r="H32" s="97">
        <v>54.1</v>
      </c>
      <c r="I32" s="97">
        <v>2594</v>
      </c>
      <c r="J32" s="97">
        <v>0</v>
      </c>
      <c r="K32" s="98">
        <v>8750</v>
      </c>
      <c r="L32">
        <f t="shared" si="0"/>
        <v>47.948243992606287</v>
      </c>
      <c r="M32" s="99">
        <f t="shared" si="1"/>
        <v>161.73752310536045</v>
      </c>
      <c r="N32">
        <f t="shared" si="2"/>
        <v>8750</v>
      </c>
    </row>
    <row r="33" spans="1:14">
      <c r="A33" t="s">
        <v>272</v>
      </c>
      <c r="B33" t="s">
        <v>243</v>
      </c>
      <c r="C33" t="s">
        <v>271</v>
      </c>
      <c r="D33" t="s">
        <v>244</v>
      </c>
      <c r="E33" t="s">
        <v>238</v>
      </c>
      <c r="F33">
        <v>2013</v>
      </c>
      <c r="G33" t="s">
        <v>235</v>
      </c>
      <c r="H33" s="97">
        <v>63.6</v>
      </c>
      <c r="I33" s="97">
        <v>2604</v>
      </c>
      <c r="J33" s="97">
        <v>0</v>
      </c>
      <c r="K33" s="98">
        <v>8950</v>
      </c>
      <c r="L33">
        <f t="shared" si="0"/>
        <v>40.943396226415096</v>
      </c>
      <c r="M33" s="99">
        <f t="shared" si="1"/>
        <v>140.72327044025158</v>
      </c>
      <c r="N33">
        <f t="shared" si="2"/>
        <v>8950</v>
      </c>
    </row>
    <row r="34" spans="1:14">
      <c r="A34" t="s">
        <v>273</v>
      </c>
      <c r="B34" t="s">
        <v>243</v>
      </c>
      <c r="D34" t="s">
        <v>244</v>
      </c>
      <c r="E34" t="s">
        <v>238</v>
      </c>
      <c r="F34">
        <v>2013</v>
      </c>
      <c r="G34" t="s">
        <v>235</v>
      </c>
      <c r="H34" s="97">
        <v>63.9</v>
      </c>
      <c r="I34" s="97">
        <v>2333</v>
      </c>
      <c r="J34" s="97">
        <v>0</v>
      </c>
      <c r="K34" s="98">
        <v>8900</v>
      </c>
      <c r="L34">
        <f t="shared" si="0"/>
        <v>36.510172143974962</v>
      </c>
      <c r="M34" s="99">
        <f t="shared" si="1"/>
        <v>139.28012519561815</v>
      </c>
      <c r="N34">
        <f t="shared" si="2"/>
        <v>8900</v>
      </c>
    </row>
    <row r="35" spans="1:14">
      <c r="A35" t="s">
        <v>274</v>
      </c>
      <c r="B35" t="s">
        <v>243</v>
      </c>
      <c r="D35" t="s">
        <v>244</v>
      </c>
      <c r="E35" t="s">
        <v>238</v>
      </c>
      <c r="F35">
        <v>2013</v>
      </c>
      <c r="G35" t="s">
        <v>235</v>
      </c>
      <c r="H35" s="97">
        <v>44.1</v>
      </c>
      <c r="I35" s="97">
        <v>2283</v>
      </c>
      <c r="J35" s="97">
        <v>0</v>
      </c>
      <c r="K35" s="98">
        <v>8450</v>
      </c>
      <c r="L35">
        <f t="shared" si="0"/>
        <v>51.768707482993193</v>
      </c>
      <c r="M35" s="99">
        <f t="shared" si="1"/>
        <v>191.60997732426304</v>
      </c>
      <c r="N35">
        <f t="shared" si="2"/>
        <v>8450</v>
      </c>
    </row>
    <row r="36" spans="1:14">
      <c r="A36" t="s">
        <v>275</v>
      </c>
      <c r="B36" t="s">
        <v>243</v>
      </c>
      <c r="D36" t="s">
        <v>244</v>
      </c>
      <c r="E36" t="s">
        <v>234</v>
      </c>
      <c r="F36">
        <v>2013</v>
      </c>
      <c r="G36" t="s">
        <v>235</v>
      </c>
      <c r="H36" s="97">
        <v>44.1</v>
      </c>
      <c r="I36" s="97">
        <v>0</v>
      </c>
      <c r="J36" s="97">
        <v>101</v>
      </c>
      <c r="K36" s="98">
        <v>8450</v>
      </c>
      <c r="L36" t="str">
        <f t="shared" si="0"/>
        <v/>
      </c>
      <c r="M36" s="99">
        <f t="shared" si="1"/>
        <v>191.60997732426304</v>
      </c>
      <c r="N36" t="str">
        <f t="shared" si="2"/>
        <v/>
      </c>
    </row>
    <row r="37" spans="1:14">
      <c r="A37" t="s">
        <v>276</v>
      </c>
      <c r="B37" t="s">
        <v>243</v>
      </c>
      <c r="C37" t="s">
        <v>271</v>
      </c>
      <c r="D37" t="s">
        <v>244</v>
      </c>
      <c r="E37" t="s">
        <v>234</v>
      </c>
      <c r="F37">
        <v>2013</v>
      </c>
      <c r="G37" t="s">
        <v>235</v>
      </c>
      <c r="H37" s="97">
        <v>44.1</v>
      </c>
      <c r="I37" s="97">
        <v>0</v>
      </c>
      <c r="J37" s="97">
        <v>91</v>
      </c>
      <c r="K37" s="98">
        <v>8450</v>
      </c>
      <c r="L37" t="str">
        <f t="shared" si="0"/>
        <v/>
      </c>
      <c r="M37" s="99">
        <f t="shared" si="1"/>
        <v>191.60997732426304</v>
      </c>
      <c r="N37" t="str">
        <f t="shared" si="2"/>
        <v/>
      </c>
    </row>
    <row r="38" spans="1:14">
      <c r="A38" t="s">
        <v>277</v>
      </c>
      <c r="B38" t="s">
        <v>243</v>
      </c>
      <c r="C38" t="s">
        <v>271</v>
      </c>
      <c r="D38" t="s">
        <v>244</v>
      </c>
      <c r="E38" t="s">
        <v>234</v>
      </c>
      <c r="F38">
        <v>2013</v>
      </c>
      <c r="G38" t="s">
        <v>235</v>
      </c>
      <c r="H38" s="97">
        <v>44.1</v>
      </c>
      <c r="I38" s="97">
        <v>0</v>
      </c>
      <c r="J38" s="97">
        <v>91</v>
      </c>
      <c r="K38" s="98">
        <v>8450</v>
      </c>
      <c r="L38" t="str">
        <f t="shared" si="0"/>
        <v/>
      </c>
      <c r="M38" s="99">
        <f t="shared" si="1"/>
        <v>191.60997732426304</v>
      </c>
      <c r="N38" t="str">
        <f t="shared" si="2"/>
        <v/>
      </c>
    </row>
    <row r="39" spans="1:14">
      <c r="A39" t="s">
        <v>278</v>
      </c>
      <c r="B39" t="s">
        <v>243</v>
      </c>
      <c r="C39" t="s">
        <v>271</v>
      </c>
      <c r="D39" t="s">
        <v>244</v>
      </c>
      <c r="E39" t="s">
        <v>234</v>
      </c>
      <c r="F39">
        <v>2013</v>
      </c>
      <c r="G39" t="s">
        <v>235</v>
      </c>
      <c r="H39" s="97">
        <v>44.1</v>
      </c>
      <c r="I39" s="97">
        <v>0</v>
      </c>
      <c r="J39" s="97">
        <v>88.6</v>
      </c>
      <c r="K39" s="98">
        <v>8450</v>
      </c>
      <c r="L39" t="str">
        <f t="shared" si="0"/>
        <v/>
      </c>
      <c r="M39" s="99">
        <f t="shared" si="1"/>
        <v>191.60997732426304</v>
      </c>
      <c r="N39" t="str">
        <f t="shared" si="2"/>
        <v/>
      </c>
    </row>
    <row r="40" spans="1:14">
      <c r="A40" t="s">
        <v>279</v>
      </c>
      <c r="B40" t="s">
        <v>243</v>
      </c>
      <c r="C40" t="s">
        <v>271</v>
      </c>
      <c r="D40" t="s">
        <v>244</v>
      </c>
      <c r="E40" t="s">
        <v>234</v>
      </c>
      <c r="F40">
        <v>2013</v>
      </c>
      <c r="G40" t="s">
        <v>235</v>
      </c>
      <c r="H40" s="97">
        <v>44.1</v>
      </c>
      <c r="I40" s="97">
        <v>0</v>
      </c>
      <c r="J40" s="97">
        <v>81</v>
      </c>
      <c r="K40" s="98">
        <v>8450</v>
      </c>
      <c r="L40" t="str">
        <f t="shared" si="0"/>
        <v/>
      </c>
      <c r="M40" s="99">
        <f t="shared" si="1"/>
        <v>191.60997732426304</v>
      </c>
      <c r="N40" t="str">
        <f t="shared" si="2"/>
        <v/>
      </c>
    </row>
    <row r="41" spans="1:14">
      <c r="A41" t="s">
        <v>280</v>
      </c>
      <c r="B41" t="s">
        <v>243</v>
      </c>
      <c r="C41" t="s">
        <v>271</v>
      </c>
      <c r="D41" t="s">
        <v>244</v>
      </c>
      <c r="E41" t="s">
        <v>238</v>
      </c>
      <c r="F41">
        <v>2013</v>
      </c>
      <c r="G41" t="s">
        <v>235</v>
      </c>
      <c r="H41" s="97">
        <v>44.1</v>
      </c>
      <c r="I41" s="97">
        <v>1748</v>
      </c>
      <c r="J41" s="97">
        <v>0</v>
      </c>
      <c r="K41" s="98">
        <v>8450</v>
      </c>
      <c r="L41">
        <f t="shared" si="0"/>
        <v>39.637188208616777</v>
      </c>
      <c r="M41" s="99">
        <f t="shared" si="1"/>
        <v>191.60997732426304</v>
      </c>
      <c r="N41">
        <f t="shared" si="2"/>
        <v>8450</v>
      </c>
    </row>
    <row r="42" spans="1:14">
      <c r="A42" t="s">
        <v>281</v>
      </c>
      <c r="B42" t="s">
        <v>243</v>
      </c>
      <c r="C42" t="s">
        <v>271</v>
      </c>
      <c r="D42" t="s">
        <v>244</v>
      </c>
      <c r="E42" t="s">
        <v>234</v>
      </c>
      <c r="F42">
        <v>2013</v>
      </c>
      <c r="G42" t="s">
        <v>235</v>
      </c>
      <c r="H42" s="97">
        <v>44.1</v>
      </c>
      <c r="I42" s="97">
        <v>0</v>
      </c>
      <c r="J42" s="97">
        <v>106</v>
      </c>
      <c r="K42" s="98">
        <v>8450</v>
      </c>
      <c r="L42" t="str">
        <f t="shared" si="0"/>
        <v/>
      </c>
      <c r="M42" s="99">
        <f t="shared" si="1"/>
        <v>191.60997732426304</v>
      </c>
      <c r="N42" t="str">
        <f t="shared" si="2"/>
        <v/>
      </c>
    </row>
    <row r="43" spans="1:14">
      <c r="A43" t="s">
        <v>282</v>
      </c>
      <c r="B43" t="s">
        <v>243</v>
      </c>
      <c r="C43" t="s">
        <v>271</v>
      </c>
      <c r="D43" t="s">
        <v>244</v>
      </c>
      <c r="E43" t="s">
        <v>238</v>
      </c>
      <c r="F43">
        <v>2013</v>
      </c>
      <c r="G43" t="s">
        <v>235</v>
      </c>
      <c r="H43" s="97">
        <v>74.599999999999994</v>
      </c>
      <c r="I43" s="97">
        <v>0</v>
      </c>
      <c r="J43" s="97">
        <v>102</v>
      </c>
      <c r="K43" s="98">
        <v>8450</v>
      </c>
      <c r="L43">
        <f t="shared" si="0"/>
        <v>0</v>
      </c>
      <c r="M43" s="99">
        <f t="shared" si="1"/>
        <v>113.27077747989277</v>
      </c>
      <c r="N43">
        <f t="shared" si="2"/>
        <v>8450</v>
      </c>
    </row>
    <row r="44" spans="1:14">
      <c r="A44" t="s">
        <v>283</v>
      </c>
      <c r="B44" t="s">
        <v>243</v>
      </c>
      <c r="C44" t="s">
        <v>271</v>
      </c>
      <c r="D44" t="s">
        <v>244</v>
      </c>
      <c r="E44" t="s">
        <v>234</v>
      </c>
      <c r="F44">
        <v>2013</v>
      </c>
      <c r="G44" t="s">
        <v>235</v>
      </c>
      <c r="H44" s="97">
        <v>44.1</v>
      </c>
      <c r="I44" s="97">
        <v>0</v>
      </c>
      <c r="J44" s="97">
        <v>81</v>
      </c>
      <c r="K44" s="98">
        <v>8450</v>
      </c>
      <c r="L44" t="str">
        <f t="shared" si="0"/>
        <v/>
      </c>
      <c r="M44" s="99">
        <f t="shared" si="1"/>
        <v>191.60997732426304</v>
      </c>
      <c r="N44" t="str">
        <f t="shared" si="2"/>
        <v/>
      </c>
    </row>
    <row r="45" spans="1:14">
      <c r="A45" t="s">
        <v>284</v>
      </c>
      <c r="B45" t="s">
        <v>243</v>
      </c>
      <c r="C45" t="s">
        <v>271</v>
      </c>
      <c r="D45" t="s">
        <v>244</v>
      </c>
      <c r="E45" t="s">
        <v>234</v>
      </c>
      <c r="F45">
        <v>2013</v>
      </c>
      <c r="G45" t="s">
        <v>235</v>
      </c>
      <c r="H45" s="97">
        <v>44.1</v>
      </c>
      <c r="I45" s="97">
        <v>0</v>
      </c>
      <c r="J45" s="97">
        <v>81</v>
      </c>
      <c r="K45" s="98">
        <v>8450</v>
      </c>
      <c r="L45" t="str">
        <f t="shared" si="0"/>
        <v/>
      </c>
      <c r="M45" s="99">
        <f t="shared" si="1"/>
        <v>191.60997732426304</v>
      </c>
      <c r="N45" t="str">
        <f t="shared" si="2"/>
        <v/>
      </c>
    </row>
    <row r="46" spans="1:14">
      <c r="A46" t="s">
        <v>285</v>
      </c>
      <c r="B46" t="s">
        <v>243</v>
      </c>
      <c r="D46" t="s">
        <v>244</v>
      </c>
      <c r="E46" t="s">
        <v>234</v>
      </c>
      <c r="F46">
        <v>2013</v>
      </c>
      <c r="G46" t="s">
        <v>235</v>
      </c>
      <c r="H46" s="97">
        <v>44.1</v>
      </c>
      <c r="I46" s="97">
        <v>0</v>
      </c>
      <c r="J46" s="97">
        <v>81</v>
      </c>
      <c r="K46" s="98">
        <v>8450</v>
      </c>
      <c r="L46" t="str">
        <f t="shared" si="0"/>
        <v/>
      </c>
      <c r="M46" s="99">
        <f t="shared" si="1"/>
        <v>191.60997732426304</v>
      </c>
      <c r="N46" t="str">
        <f t="shared" si="2"/>
        <v/>
      </c>
    </row>
    <row r="47" spans="1:14">
      <c r="A47" t="s">
        <v>286</v>
      </c>
      <c r="B47" t="s">
        <v>243</v>
      </c>
      <c r="C47" t="s">
        <v>271</v>
      </c>
      <c r="D47" t="s">
        <v>244</v>
      </c>
      <c r="E47" t="s">
        <v>234</v>
      </c>
      <c r="F47">
        <v>2013</v>
      </c>
      <c r="G47" t="s">
        <v>235</v>
      </c>
      <c r="H47" s="97">
        <v>44.1</v>
      </c>
      <c r="I47" s="97">
        <v>0</v>
      </c>
      <c r="J47" s="97">
        <v>81</v>
      </c>
      <c r="K47" s="98">
        <v>8450</v>
      </c>
      <c r="L47" t="str">
        <f t="shared" si="0"/>
        <v/>
      </c>
      <c r="M47" s="99">
        <f t="shared" si="1"/>
        <v>191.60997732426304</v>
      </c>
      <c r="N47" t="str">
        <f t="shared" si="2"/>
        <v/>
      </c>
    </row>
    <row r="48" spans="1:14">
      <c r="A48" t="s">
        <v>287</v>
      </c>
      <c r="B48" t="s">
        <v>243</v>
      </c>
      <c r="C48" t="s">
        <v>271</v>
      </c>
      <c r="D48" t="s">
        <v>244</v>
      </c>
      <c r="E48" t="s">
        <v>234</v>
      </c>
      <c r="F48">
        <v>2013</v>
      </c>
      <c r="G48" t="s">
        <v>235</v>
      </c>
      <c r="H48" s="97">
        <v>44.1</v>
      </c>
      <c r="I48" s="97">
        <v>0</v>
      </c>
      <c r="J48" s="97">
        <v>84.2</v>
      </c>
      <c r="K48" s="98">
        <v>8450</v>
      </c>
      <c r="L48" t="str">
        <f t="shared" si="0"/>
        <v/>
      </c>
      <c r="M48" s="99">
        <f t="shared" si="1"/>
        <v>191.60997732426304</v>
      </c>
      <c r="N48" t="str">
        <f t="shared" si="2"/>
        <v/>
      </c>
    </row>
    <row r="49" spans="1:14">
      <c r="A49" t="s">
        <v>288</v>
      </c>
      <c r="B49" t="s">
        <v>243</v>
      </c>
      <c r="C49" t="s">
        <v>271</v>
      </c>
      <c r="D49" t="s">
        <v>244</v>
      </c>
      <c r="E49" t="s">
        <v>234</v>
      </c>
      <c r="F49">
        <v>2013</v>
      </c>
      <c r="G49" t="s">
        <v>235</v>
      </c>
      <c r="H49" s="97">
        <v>44.1</v>
      </c>
      <c r="I49" s="97">
        <v>0</v>
      </c>
      <c r="J49" s="97">
        <v>105.8</v>
      </c>
      <c r="K49" s="98">
        <v>8450</v>
      </c>
      <c r="L49" t="str">
        <f t="shared" si="0"/>
        <v/>
      </c>
      <c r="M49" s="99">
        <f t="shared" si="1"/>
        <v>191.60997732426304</v>
      </c>
      <c r="N49" t="str">
        <f t="shared" si="2"/>
        <v/>
      </c>
    </row>
    <row r="50" spans="1:14">
      <c r="A50" t="s">
        <v>289</v>
      </c>
      <c r="B50" t="s">
        <v>243</v>
      </c>
      <c r="C50" t="s">
        <v>271</v>
      </c>
      <c r="D50" t="s">
        <v>244</v>
      </c>
      <c r="E50" t="s">
        <v>238</v>
      </c>
      <c r="F50">
        <v>2014</v>
      </c>
      <c r="G50" t="s">
        <v>235</v>
      </c>
      <c r="H50" s="97">
        <v>64</v>
      </c>
      <c r="I50" s="97">
        <v>2108</v>
      </c>
      <c r="J50" s="97">
        <v>0</v>
      </c>
      <c r="K50" s="98">
        <v>9000</v>
      </c>
      <c r="L50">
        <f t="shared" si="0"/>
        <v>32.9375</v>
      </c>
      <c r="M50" s="99">
        <f t="shared" si="1"/>
        <v>140.625</v>
      </c>
      <c r="N50">
        <f t="shared" si="2"/>
        <v>9000</v>
      </c>
    </row>
    <row r="51" spans="1:14">
      <c r="A51" t="s">
        <v>290</v>
      </c>
      <c r="B51" t="s">
        <v>243</v>
      </c>
      <c r="C51" t="s">
        <v>271</v>
      </c>
      <c r="D51" t="s">
        <v>244</v>
      </c>
      <c r="E51" t="s">
        <v>234</v>
      </c>
      <c r="F51">
        <v>2014</v>
      </c>
      <c r="G51" t="s">
        <v>235</v>
      </c>
      <c r="H51" s="97">
        <v>40.9</v>
      </c>
      <c r="I51" s="97">
        <v>0</v>
      </c>
      <c r="J51" s="97">
        <v>84</v>
      </c>
      <c r="K51" s="98">
        <v>8750</v>
      </c>
      <c r="L51" t="str">
        <f t="shared" si="0"/>
        <v/>
      </c>
      <c r="M51" s="99">
        <f t="shared" si="1"/>
        <v>213.93643031784842</v>
      </c>
      <c r="N51" t="str">
        <f t="shared" si="2"/>
        <v/>
      </c>
    </row>
    <row r="52" spans="1:14">
      <c r="A52" t="s">
        <v>291</v>
      </c>
      <c r="B52" t="s">
        <v>292</v>
      </c>
      <c r="D52" t="s">
        <v>244</v>
      </c>
      <c r="E52" t="s">
        <v>238</v>
      </c>
      <c r="F52">
        <v>2012</v>
      </c>
      <c r="G52" t="s">
        <v>235</v>
      </c>
      <c r="H52" s="97">
        <v>33</v>
      </c>
      <c r="I52" s="97">
        <v>1854</v>
      </c>
      <c r="J52" s="97">
        <v>0</v>
      </c>
      <c r="K52" s="98">
        <v>12000</v>
      </c>
      <c r="L52">
        <f t="shared" si="0"/>
        <v>56.18181818181818</v>
      </c>
      <c r="M52" s="99">
        <f t="shared" si="1"/>
        <v>363.63636363636363</v>
      </c>
      <c r="N52">
        <f t="shared" si="2"/>
        <v>12000</v>
      </c>
    </row>
    <row r="53" spans="1:14">
      <c r="A53" t="s">
        <v>293</v>
      </c>
      <c r="B53" t="s">
        <v>292</v>
      </c>
      <c r="D53" t="s">
        <v>244</v>
      </c>
      <c r="E53" t="s">
        <v>238</v>
      </c>
      <c r="F53">
        <v>2012</v>
      </c>
      <c r="G53" t="s">
        <v>235</v>
      </c>
      <c r="H53" s="97">
        <v>32</v>
      </c>
      <c r="I53" s="97">
        <v>2489</v>
      </c>
      <c r="J53" s="97">
        <v>0</v>
      </c>
      <c r="K53" s="98">
        <v>8200</v>
      </c>
      <c r="L53">
        <f t="shared" si="0"/>
        <v>77.78125</v>
      </c>
      <c r="M53" s="99">
        <f t="shared" si="1"/>
        <v>256.25</v>
      </c>
      <c r="N53">
        <f t="shared" si="2"/>
        <v>8200</v>
      </c>
    </row>
    <row r="54" spans="1:14">
      <c r="A54" t="s">
        <v>294</v>
      </c>
      <c r="B54" t="s">
        <v>292</v>
      </c>
      <c r="C54" t="s">
        <v>52</v>
      </c>
      <c r="D54" t="s">
        <v>244</v>
      </c>
      <c r="E54" t="s">
        <v>238</v>
      </c>
      <c r="F54">
        <v>2012</v>
      </c>
      <c r="G54" t="s">
        <v>235</v>
      </c>
      <c r="H54" s="97">
        <v>32</v>
      </c>
      <c r="I54" s="97">
        <v>2569</v>
      </c>
      <c r="J54" s="97">
        <v>0</v>
      </c>
      <c r="K54" s="98">
        <v>8700</v>
      </c>
      <c r="L54">
        <f t="shared" si="0"/>
        <v>80.28125</v>
      </c>
      <c r="M54" s="99">
        <f t="shared" si="1"/>
        <v>271.875</v>
      </c>
      <c r="N54">
        <f t="shared" si="2"/>
        <v>8700</v>
      </c>
    </row>
    <row r="55" spans="1:14">
      <c r="A55" t="s">
        <v>295</v>
      </c>
      <c r="B55" t="s">
        <v>292</v>
      </c>
      <c r="D55" t="s">
        <v>244</v>
      </c>
      <c r="E55" t="s">
        <v>238</v>
      </c>
      <c r="F55">
        <v>2012</v>
      </c>
      <c r="G55" t="s">
        <v>235</v>
      </c>
      <c r="H55" s="97">
        <v>25</v>
      </c>
      <c r="I55" s="97">
        <v>2075</v>
      </c>
      <c r="J55" s="97">
        <v>0</v>
      </c>
      <c r="K55" s="98">
        <v>8500</v>
      </c>
      <c r="L55">
        <f t="shared" si="0"/>
        <v>83</v>
      </c>
      <c r="M55" s="99">
        <f t="shared" si="1"/>
        <v>340</v>
      </c>
      <c r="N55">
        <f t="shared" si="2"/>
        <v>8500</v>
      </c>
    </row>
    <row r="56" spans="1:14">
      <c r="A56" t="s">
        <v>296</v>
      </c>
      <c r="B56" t="s">
        <v>292</v>
      </c>
      <c r="D56" t="s">
        <v>244</v>
      </c>
      <c r="E56" t="s">
        <v>238</v>
      </c>
      <c r="F56">
        <v>2012</v>
      </c>
      <c r="G56" t="s">
        <v>235</v>
      </c>
      <c r="H56" s="97">
        <v>25</v>
      </c>
      <c r="I56" s="97">
        <v>1902</v>
      </c>
      <c r="J56" s="97">
        <v>0</v>
      </c>
      <c r="K56" s="98">
        <v>8900</v>
      </c>
      <c r="L56">
        <f t="shared" si="0"/>
        <v>76.08</v>
      </c>
      <c r="M56" s="99">
        <f t="shared" si="1"/>
        <v>356</v>
      </c>
      <c r="N56">
        <f t="shared" si="2"/>
        <v>8900</v>
      </c>
    </row>
    <row r="57" spans="1:14">
      <c r="A57" t="s">
        <v>297</v>
      </c>
      <c r="B57" t="s">
        <v>292</v>
      </c>
      <c r="D57" t="s">
        <v>244</v>
      </c>
      <c r="E57" t="s">
        <v>238</v>
      </c>
      <c r="F57">
        <v>2012</v>
      </c>
      <c r="G57" t="s">
        <v>235</v>
      </c>
      <c r="H57" s="97">
        <v>40</v>
      </c>
      <c r="I57" s="97">
        <v>1695</v>
      </c>
      <c r="J57" s="97">
        <v>0</v>
      </c>
      <c r="K57" s="98">
        <v>9860</v>
      </c>
      <c r="L57">
        <f t="shared" ref="L57:L113" si="3">IF(E57="ELE",I57/H57,"")</f>
        <v>42.375</v>
      </c>
      <c r="M57" s="99">
        <f t="shared" ref="M57:M113" si="4">IFERROR(K57/H57,"")</f>
        <v>246.5</v>
      </c>
      <c r="N57">
        <f t="shared" si="2"/>
        <v>9860</v>
      </c>
    </row>
    <row r="58" spans="1:14">
      <c r="A58" t="s">
        <v>298</v>
      </c>
      <c r="B58" t="s">
        <v>292</v>
      </c>
      <c r="D58" t="s">
        <v>244</v>
      </c>
      <c r="E58" t="s">
        <v>234</v>
      </c>
      <c r="F58">
        <v>2012</v>
      </c>
      <c r="G58" t="s">
        <v>235</v>
      </c>
      <c r="H58" s="97">
        <v>41</v>
      </c>
      <c r="I58" s="97">
        <v>0</v>
      </c>
      <c r="J58" s="97">
        <v>84</v>
      </c>
      <c r="K58" s="98">
        <v>7800.89</v>
      </c>
      <c r="L58" t="str">
        <f t="shared" si="3"/>
        <v/>
      </c>
      <c r="M58" s="99">
        <f t="shared" si="4"/>
        <v>190.26560975609758</v>
      </c>
      <c r="N58" t="str">
        <f t="shared" si="2"/>
        <v/>
      </c>
    </row>
    <row r="59" spans="1:14">
      <c r="A59" t="s">
        <v>299</v>
      </c>
      <c r="B59" t="s">
        <v>292</v>
      </c>
      <c r="D59" t="s">
        <v>244</v>
      </c>
      <c r="E59" t="s">
        <v>238</v>
      </c>
      <c r="F59">
        <v>2012</v>
      </c>
      <c r="G59" t="s">
        <v>235</v>
      </c>
      <c r="H59" s="97">
        <v>33</v>
      </c>
      <c r="I59" s="97">
        <v>2090</v>
      </c>
      <c r="J59" s="97">
        <v>0</v>
      </c>
      <c r="K59" s="98">
        <v>13000</v>
      </c>
      <c r="L59">
        <f t="shared" si="3"/>
        <v>63.333333333333336</v>
      </c>
      <c r="M59" s="99">
        <f t="shared" si="4"/>
        <v>393.93939393939394</v>
      </c>
      <c r="N59">
        <f t="shared" si="2"/>
        <v>13000</v>
      </c>
    </row>
    <row r="60" spans="1:14">
      <c r="A60" t="s">
        <v>300</v>
      </c>
      <c r="B60" t="s">
        <v>292</v>
      </c>
      <c r="C60" t="s">
        <v>52</v>
      </c>
      <c r="D60" t="s">
        <v>244</v>
      </c>
      <c r="E60" t="s">
        <v>238</v>
      </c>
      <c r="F60">
        <v>2012</v>
      </c>
      <c r="G60" t="s">
        <v>235</v>
      </c>
      <c r="H60" s="97">
        <v>50</v>
      </c>
      <c r="I60" s="97">
        <v>1980</v>
      </c>
      <c r="J60" s="97">
        <v>0</v>
      </c>
      <c r="K60" s="98">
        <v>10627.79</v>
      </c>
      <c r="L60">
        <f t="shared" si="3"/>
        <v>39.6</v>
      </c>
      <c r="M60" s="99">
        <f t="shared" si="4"/>
        <v>212.5558</v>
      </c>
      <c r="N60">
        <f t="shared" si="2"/>
        <v>10627.79</v>
      </c>
    </row>
    <row r="61" spans="1:14">
      <c r="A61" t="s">
        <v>301</v>
      </c>
      <c r="B61" t="s">
        <v>292</v>
      </c>
      <c r="D61" t="s">
        <v>244</v>
      </c>
      <c r="E61" t="s">
        <v>238</v>
      </c>
      <c r="F61">
        <v>2012</v>
      </c>
      <c r="G61" t="s">
        <v>235</v>
      </c>
      <c r="H61" s="97">
        <v>56</v>
      </c>
      <c r="I61" s="97">
        <v>2528</v>
      </c>
      <c r="J61" s="97">
        <v>0</v>
      </c>
      <c r="K61" s="98">
        <v>4920</v>
      </c>
      <c r="L61">
        <f t="shared" si="3"/>
        <v>45.142857142857146</v>
      </c>
      <c r="M61" s="99">
        <f t="shared" si="4"/>
        <v>87.857142857142861</v>
      </c>
      <c r="N61">
        <f t="shared" si="2"/>
        <v>4920</v>
      </c>
    </row>
    <row r="62" spans="1:14">
      <c r="A62" t="s">
        <v>302</v>
      </c>
      <c r="B62" t="s">
        <v>292</v>
      </c>
      <c r="C62" t="s">
        <v>52</v>
      </c>
      <c r="D62" t="s">
        <v>244</v>
      </c>
      <c r="E62" t="s">
        <v>238</v>
      </c>
      <c r="F62">
        <v>2012</v>
      </c>
      <c r="G62" t="s">
        <v>235</v>
      </c>
      <c r="H62" s="97">
        <v>56</v>
      </c>
      <c r="I62" s="97">
        <v>2403</v>
      </c>
      <c r="J62" s="97">
        <v>0</v>
      </c>
      <c r="K62" s="98">
        <v>9950</v>
      </c>
      <c r="L62">
        <f t="shared" si="3"/>
        <v>42.910714285714285</v>
      </c>
      <c r="M62" s="99">
        <f t="shared" si="4"/>
        <v>177.67857142857142</v>
      </c>
      <c r="N62">
        <f t="shared" si="2"/>
        <v>9950</v>
      </c>
    </row>
    <row r="63" spans="1:14">
      <c r="A63" t="s">
        <v>303</v>
      </c>
      <c r="B63" t="s">
        <v>292</v>
      </c>
      <c r="D63" t="s">
        <v>244</v>
      </c>
      <c r="E63" t="s">
        <v>238</v>
      </c>
      <c r="F63">
        <v>2012</v>
      </c>
      <c r="G63" t="s">
        <v>235</v>
      </c>
      <c r="H63" s="97">
        <v>52</v>
      </c>
      <c r="I63" s="97">
        <v>2119</v>
      </c>
      <c r="J63" s="97">
        <v>0</v>
      </c>
      <c r="K63" s="98">
        <v>11745</v>
      </c>
      <c r="L63">
        <f t="shared" si="3"/>
        <v>40.75</v>
      </c>
      <c r="M63" s="99">
        <f t="shared" si="4"/>
        <v>225.86538461538461</v>
      </c>
      <c r="N63">
        <f t="shared" si="2"/>
        <v>11745</v>
      </c>
    </row>
    <row r="64" spans="1:14">
      <c r="A64" t="s">
        <v>304</v>
      </c>
      <c r="B64" t="s">
        <v>292</v>
      </c>
      <c r="C64" t="s">
        <v>52</v>
      </c>
      <c r="D64" t="s">
        <v>244</v>
      </c>
      <c r="E64" t="s">
        <v>238</v>
      </c>
      <c r="F64">
        <v>2012</v>
      </c>
      <c r="G64" t="s">
        <v>235</v>
      </c>
      <c r="H64" s="97">
        <v>64</v>
      </c>
      <c r="I64" s="97">
        <v>2677</v>
      </c>
      <c r="J64" s="97">
        <v>0</v>
      </c>
      <c r="K64" s="98">
        <v>8700</v>
      </c>
      <c r="L64">
        <f t="shared" si="3"/>
        <v>41.828125</v>
      </c>
      <c r="M64" s="99">
        <f t="shared" si="4"/>
        <v>135.9375</v>
      </c>
      <c r="N64">
        <f t="shared" si="2"/>
        <v>8700</v>
      </c>
    </row>
    <row r="65" spans="1:14">
      <c r="A65" t="s">
        <v>305</v>
      </c>
      <c r="B65" t="s">
        <v>292</v>
      </c>
      <c r="D65" t="s">
        <v>244</v>
      </c>
      <c r="E65" t="s">
        <v>238</v>
      </c>
      <c r="F65">
        <v>2012</v>
      </c>
      <c r="G65" t="s">
        <v>235</v>
      </c>
      <c r="H65" s="97">
        <v>45</v>
      </c>
      <c r="I65" s="97">
        <v>1845</v>
      </c>
      <c r="J65" s="97">
        <v>0</v>
      </c>
      <c r="K65" s="98">
        <v>6000</v>
      </c>
      <c r="L65">
        <f t="shared" si="3"/>
        <v>41</v>
      </c>
      <c r="M65" s="99">
        <f t="shared" si="4"/>
        <v>133.33333333333334</v>
      </c>
      <c r="N65">
        <f t="shared" si="2"/>
        <v>6000</v>
      </c>
    </row>
    <row r="66" spans="1:14">
      <c r="A66" t="s">
        <v>306</v>
      </c>
      <c r="B66" t="s">
        <v>292</v>
      </c>
      <c r="C66" t="s">
        <v>52</v>
      </c>
      <c r="D66" t="s">
        <v>244</v>
      </c>
      <c r="E66" t="s">
        <v>234</v>
      </c>
      <c r="F66">
        <v>2012</v>
      </c>
      <c r="G66" t="s">
        <v>235</v>
      </c>
      <c r="H66" s="97">
        <v>33</v>
      </c>
      <c r="I66" s="97">
        <v>0</v>
      </c>
      <c r="J66" s="97">
        <v>62</v>
      </c>
      <c r="K66" s="98">
        <v>6821</v>
      </c>
      <c r="L66" t="str">
        <f t="shared" si="3"/>
        <v/>
      </c>
      <c r="M66" s="99">
        <f t="shared" si="4"/>
        <v>206.69696969696969</v>
      </c>
      <c r="N66" t="str">
        <f t="shared" si="2"/>
        <v/>
      </c>
    </row>
    <row r="67" spans="1:14">
      <c r="A67" t="s">
        <v>307</v>
      </c>
      <c r="B67" t="s">
        <v>292</v>
      </c>
      <c r="D67" t="s">
        <v>244</v>
      </c>
      <c r="E67" t="s">
        <v>238</v>
      </c>
      <c r="F67">
        <v>2012</v>
      </c>
      <c r="G67" t="s">
        <v>235</v>
      </c>
      <c r="H67" s="97">
        <v>90</v>
      </c>
      <c r="I67" s="97">
        <v>2547</v>
      </c>
      <c r="J67" s="97">
        <v>0</v>
      </c>
      <c r="K67" s="98">
        <v>9493</v>
      </c>
      <c r="L67">
        <f t="shared" si="3"/>
        <v>28.3</v>
      </c>
      <c r="M67" s="99">
        <f t="shared" si="4"/>
        <v>105.47777777777777</v>
      </c>
      <c r="N67">
        <f t="shared" si="2"/>
        <v>9493</v>
      </c>
    </row>
    <row r="68" spans="1:14">
      <c r="A68" t="s">
        <v>308</v>
      </c>
      <c r="B68" t="s">
        <v>292</v>
      </c>
      <c r="D68" t="s">
        <v>244</v>
      </c>
      <c r="E68" t="s">
        <v>309</v>
      </c>
      <c r="F68">
        <v>2012</v>
      </c>
      <c r="G68" t="s">
        <v>235</v>
      </c>
      <c r="H68" s="97">
        <v>64</v>
      </c>
      <c r="I68" s="97">
        <v>2506</v>
      </c>
      <c r="J68" s="97">
        <v>0</v>
      </c>
      <c r="K68" s="98">
        <v>8989</v>
      </c>
      <c r="L68" t="str">
        <f t="shared" si="3"/>
        <v/>
      </c>
      <c r="M68" s="99">
        <f t="shared" si="4"/>
        <v>140.453125</v>
      </c>
      <c r="N68">
        <f t="shared" si="2"/>
        <v>8989</v>
      </c>
    </row>
    <row r="69" spans="1:14">
      <c r="A69" t="s">
        <v>310</v>
      </c>
      <c r="B69" t="s">
        <v>292</v>
      </c>
      <c r="D69" t="s">
        <v>244</v>
      </c>
      <c r="E69" t="s">
        <v>238</v>
      </c>
      <c r="F69">
        <v>2012</v>
      </c>
      <c r="G69" t="s">
        <v>235</v>
      </c>
      <c r="H69" s="97">
        <v>64</v>
      </c>
      <c r="I69" s="97">
        <v>0</v>
      </c>
      <c r="J69" s="97">
        <v>93</v>
      </c>
      <c r="K69" s="98">
        <v>6552</v>
      </c>
      <c r="L69">
        <f t="shared" si="3"/>
        <v>0</v>
      </c>
      <c r="M69" s="99">
        <f t="shared" si="4"/>
        <v>102.375</v>
      </c>
      <c r="N69">
        <f t="shared" ref="N69:N113" si="5">IF(E69="GAS","",K69)</f>
        <v>6552</v>
      </c>
    </row>
    <row r="70" spans="1:14">
      <c r="A70" t="s">
        <v>311</v>
      </c>
      <c r="B70" t="s">
        <v>292</v>
      </c>
      <c r="D70" t="s">
        <v>244</v>
      </c>
      <c r="E70" t="s">
        <v>234</v>
      </c>
      <c r="F70">
        <v>2012</v>
      </c>
      <c r="G70" t="s">
        <v>235</v>
      </c>
      <c r="H70" s="97">
        <v>45</v>
      </c>
      <c r="I70" s="97">
        <v>0</v>
      </c>
      <c r="J70" s="97">
        <v>95</v>
      </c>
      <c r="K70" s="98">
        <v>18368.2</v>
      </c>
      <c r="L70" t="str">
        <f t="shared" si="3"/>
        <v/>
      </c>
      <c r="M70" s="99">
        <f t="shared" si="4"/>
        <v>408.18222222222226</v>
      </c>
      <c r="N70" t="str">
        <f t="shared" si="5"/>
        <v/>
      </c>
    </row>
    <row r="71" spans="1:14">
      <c r="A71" t="s">
        <v>312</v>
      </c>
      <c r="B71" t="s">
        <v>292</v>
      </c>
      <c r="D71" t="s">
        <v>244</v>
      </c>
      <c r="E71" t="s">
        <v>238</v>
      </c>
      <c r="F71">
        <v>2012</v>
      </c>
      <c r="G71" t="s">
        <v>235</v>
      </c>
      <c r="H71" s="97">
        <v>56</v>
      </c>
      <c r="I71" s="97">
        <v>3168</v>
      </c>
      <c r="J71" s="97">
        <v>0</v>
      </c>
      <c r="K71" s="98">
        <v>7900</v>
      </c>
      <c r="L71">
        <f t="shared" si="3"/>
        <v>56.571428571428569</v>
      </c>
      <c r="M71" s="99">
        <f t="shared" si="4"/>
        <v>141.07142857142858</v>
      </c>
      <c r="N71">
        <f t="shared" si="5"/>
        <v>7900</v>
      </c>
    </row>
    <row r="72" spans="1:14">
      <c r="A72" t="s">
        <v>313</v>
      </c>
      <c r="B72" t="s">
        <v>292</v>
      </c>
      <c r="D72" t="s">
        <v>244</v>
      </c>
      <c r="E72" t="s">
        <v>234</v>
      </c>
      <c r="F72">
        <v>2012</v>
      </c>
      <c r="G72" t="s">
        <v>235</v>
      </c>
      <c r="H72" s="97">
        <v>44</v>
      </c>
      <c r="I72" s="97">
        <v>0</v>
      </c>
      <c r="J72" s="97">
        <v>121</v>
      </c>
      <c r="K72" s="98">
        <v>7353</v>
      </c>
      <c r="L72" t="str">
        <f t="shared" si="3"/>
        <v/>
      </c>
      <c r="M72" s="99">
        <f t="shared" si="4"/>
        <v>167.11363636363637</v>
      </c>
      <c r="N72" t="str">
        <f t="shared" si="5"/>
        <v/>
      </c>
    </row>
    <row r="73" spans="1:14">
      <c r="A73" t="s">
        <v>314</v>
      </c>
      <c r="B73" t="s">
        <v>292</v>
      </c>
      <c r="C73" t="s">
        <v>52</v>
      </c>
      <c r="D73" t="s">
        <v>244</v>
      </c>
      <c r="E73" t="s">
        <v>238</v>
      </c>
      <c r="F73">
        <v>2012</v>
      </c>
      <c r="G73" t="s">
        <v>235</v>
      </c>
      <c r="H73" s="97">
        <v>66</v>
      </c>
      <c r="I73" s="97">
        <v>2094</v>
      </c>
      <c r="J73" s="97">
        <v>0</v>
      </c>
      <c r="K73" s="98">
        <v>9000</v>
      </c>
      <c r="L73">
        <f t="shared" si="3"/>
        <v>31.727272727272727</v>
      </c>
      <c r="M73" s="99">
        <f t="shared" si="4"/>
        <v>136.36363636363637</v>
      </c>
      <c r="N73">
        <f t="shared" si="5"/>
        <v>9000</v>
      </c>
    </row>
    <row r="74" spans="1:14">
      <c r="A74" t="s">
        <v>315</v>
      </c>
      <c r="B74" t="s">
        <v>292</v>
      </c>
      <c r="C74" t="s">
        <v>52</v>
      </c>
      <c r="D74" t="s">
        <v>244</v>
      </c>
      <c r="E74" t="s">
        <v>238</v>
      </c>
      <c r="F74">
        <v>2012</v>
      </c>
      <c r="G74" t="s">
        <v>235</v>
      </c>
      <c r="H74" s="97">
        <v>54</v>
      </c>
      <c r="I74" s="97">
        <v>2474</v>
      </c>
      <c r="J74" s="97">
        <v>0</v>
      </c>
      <c r="K74" s="98">
        <v>8840</v>
      </c>
      <c r="L74">
        <f t="shared" si="3"/>
        <v>45.814814814814817</v>
      </c>
      <c r="M74" s="99">
        <f t="shared" si="4"/>
        <v>163.7037037037037</v>
      </c>
      <c r="N74">
        <f t="shared" si="5"/>
        <v>8840</v>
      </c>
    </row>
    <row r="75" spans="1:14">
      <c r="A75" t="s">
        <v>316</v>
      </c>
      <c r="B75" t="s">
        <v>292</v>
      </c>
      <c r="D75" t="s">
        <v>244</v>
      </c>
      <c r="E75" t="s">
        <v>238</v>
      </c>
      <c r="F75">
        <v>2012</v>
      </c>
      <c r="G75" t="s">
        <v>235</v>
      </c>
      <c r="H75" s="97">
        <v>56</v>
      </c>
      <c r="I75" s="97">
        <v>2912</v>
      </c>
      <c r="J75" s="97">
        <v>0</v>
      </c>
      <c r="K75" s="98">
        <v>7900</v>
      </c>
      <c r="L75">
        <f t="shared" si="3"/>
        <v>52</v>
      </c>
      <c r="M75" s="99">
        <f t="shared" si="4"/>
        <v>141.07142857142858</v>
      </c>
      <c r="N75">
        <f t="shared" si="5"/>
        <v>7900</v>
      </c>
    </row>
    <row r="76" spans="1:14">
      <c r="A76" t="s">
        <v>317</v>
      </c>
      <c r="B76" t="s">
        <v>292</v>
      </c>
      <c r="D76" t="s">
        <v>244</v>
      </c>
      <c r="E76" t="s">
        <v>234</v>
      </c>
      <c r="F76">
        <v>2012</v>
      </c>
      <c r="G76" t="s">
        <v>235</v>
      </c>
      <c r="H76" s="97">
        <v>50</v>
      </c>
      <c r="I76" s="97">
        <v>0</v>
      </c>
      <c r="J76" s="97">
        <v>87</v>
      </c>
      <c r="K76" s="98">
        <v>9100</v>
      </c>
      <c r="L76" t="str">
        <f t="shared" si="3"/>
        <v/>
      </c>
      <c r="M76" s="99">
        <f t="shared" si="4"/>
        <v>182</v>
      </c>
      <c r="N76" t="str">
        <f t="shared" si="5"/>
        <v/>
      </c>
    </row>
    <row r="77" spans="1:14">
      <c r="A77" t="s">
        <v>318</v>
      </c>
      <c r="B77" t="s">
        <v>292</v>
      </c>
      <c r="D77" t="s">
        <v>244</v>
      </c>
      <c r="E77" t="s">
        <v>238</v>
      </c>
      <c r="F77">
        <v>2012</v>
      </c>
      <c r="G77" t="s">
        <v>235</v>
      </c>
      <c r="H77" s="97">
        <v>64</v>
      </c>
      <c r="I77" s="97">
        <v>2385</v>
      </c>
      <c r="J77" s="97">
        <v>0</v>
      </c>
      <c r="K77" s="98">
        <v>8900</v>
      </c>
      <c r="L77">
        <f t="shared" si="3"/>
        <v>37.265625</v>
      </c>
      <c r="M77" s="99">
        <f t="shared" si="4"/>
        <v>139.0625</v>
      </c>
      <c r="N77">
        <f t="shared" si="5"/>
        <v>8900</v>
      </c>
    </row>
    <row r="78" spans="1:14">
      <c r="A78" t="s">
        <v>319</v>
      </c>
      <c r="B78" t="s">
        <v>292</v>
      </c>
      <c r="C78" t="s">
        <v>52</v>
      </c>
      <c r="D78" t="s">
        <v>244</v>
      </c>
      <c r="E78" t="s">
        <v>238</v>
      </c>
      <c r="F78">
        <v>2012</v>
      </c>
      <c r="G78" t="s">
        <v>235</v>
      </c>
      <c r="H78" s="97">
        <v>64</v>
      </c>
      <c r="I78" s="97">
        <v>1819</v>
      </c>
      <c r="J78" s="97">
        <v>0</v>
      </c>
      <c r="K78" s="98">
        <v>7300</v>
      </c>
      <c r="L78">
        <f t="shared" si="3"/>
        <v>28.421875</v>
      </c>
      <c r="M78" s="99">
        <f t="shared" si="4"/>
        <v>114.0625</v>
      </c>
      <c r="N78">
        <f t="shared" si="5"/>
        <v>7300</v>
      </c>
    </row>
    <row r="79" spans="1:14">
      <c r="A79" t="s">
        <v>320</v>
      </c>
      <c r="B79" t="s">
        <v>292</v>
      </c>
      <c r="D79" t="s">
        <v>244</v>
      </c>
      <c r="E79" t="s">
        <v>234</v>
      </c>
      <c r="F79">
        <v>2012</v>
      </c>
      <c r="G79" t="s">
        <v>235</v>
      </c>
      <c r="H79" s="97">
        <v>44</v>
      </c>
      <c r="I79" s="97">
        <v>0</v>
      </c>
      <c r="J79" s="97">
        <v>91</v>
      </c>
      <c r="K79" s="98">
        <v>8804</v>
      </c>
      <c r="L79" t="str">
        <f t="shared" si="3"/>
        <v/>
      </c>
      <c r="M79" s="99">
        <f t="shared" si="4"/>
        <v>200.09090909090909</v>
      </c>
      <c r="N79" t="str">
        <f t="shared" si="5"/>
        <v/>
      </c>
    </row>
    <row r="80" spans="1:14">
      <c r="A80" t="s">
        <v>321</v>
      </c>
      <c r="B80" t="s">
        <v>292</v>
      </c>
      <c r="C80" t="s">
        <v>52</v>
      </c>
      <c r="D80" t="s">
        <v>244</v>
      </c>
      <c r="E80" t="s">
        <v>238</v>
      </c>
      <c r="F80">
        <v>2012</v>
      </c>
      <c r="G80" t="s">
        <v>235</v>
      </c>
      <c r="H80" s="97">
        <v>56</v>
      </c>
      <c r="I80" s="97">
        <v>2297</v>
      </c>
      <c r="J80" s="97">
        <v>0</v>
      </c>
      <c r="K80" s="98">
        <v>8500</v>
      </c>
      <c r="L80">
        <f t="shared" si="3"/>
        <v>41.017857142857146</v>
      </c>
      <c r="M80" s="99">
        <f t="shared" si="4"/>
        <v>151.78571428571428</v>
      </c>
      <c r="N80">
        <f t="shared" si="5"/>
        <v>8500</v>
      </c>
    </row>
    <row r="81" spans="1:14">
      <c r="A81" t="s">
        <v>322</v>
      </c>
      <c r="B81" t="s">
        <v>292</v>
      </c>
      <c r="C81" t="s">
        <v>52</v>
      </c>
      <c r="D81" t="s">
        <v>244</v>
      </c>
      <c r="E81" t="s">
        <v>238</v>
      </c>
      <c r="F81">
        <v>2012</v>
      </c>
      <c r="G81" t="s">
        <v>235</v>
      </c>
      <c r="H81" s="97">
        <v>56</v>
      </c>
      <c r="I81" s="97">
        <v>2192</v>
      </c>
      <c r="J81" s="97">
        <v>0</v>
      </c>
      <c r="K81" s="98">
        <v>8900</v>
      </c>
      <c r="L81">
        <f t="shared" si="3"/>
        <v>39.142857142857146</v>
      </c>
      <c r="M81" s="99">
        <f t="shared" si="4"/>
        <v>158.92857142857142</v>
      </c>
      <c r="N81">
        <f t="shared" si="5"/>
        <v>8900</v>
      </c>
    </row>
    <row r="82" spans="1:14">
      <c r="A82" t="s">
        <v>323</v>
      </c>
      <c r="B82" t="s">
        <v>292</v>
      </c>
      <c r="D82" t="s">
        <v>244</v>
      </c>
      <c r="E82" t="s">
        <v>234</v>
      </c>
      <c r="F82">
        <v>2013</v>
      </c>
      <c r="G82" t="s">
        <v>235</v>
      </c>
      <c r="H82" s="97">
        <v>64</v>
      </c>
      <c r="I82" s="97">
        <v>0</v>
      </c>
      <c r="J82" s="97">
        <v>111</v>
      </c>
      <c r="K82" s="98">
        <v>8283</v>
      </c>
      <c r="L82" t="str">
        <f t="shared" si="3"/>
        <v/>
      </c>
      <c r="M82" s="99">
        <f t="shared" si="4"/>
        <v>129.421875</v>
      </c>
      <c r="N82" t="str">
        <f t="shared" si="5"/>
        <v/>
      </c>
    </row>
    <row r="83" spans="1:14">
      <c r="A83" t="s">
        <v>324</v>
      </c>
      <c r="B83" t="s">
        <v>292</v>
      </c>
      <c r="D83" t="s">
        <v>244</v>
      </c>
      <c r="E83" t="s">
        <v>238</v>
      </c>
      <c r="F83">
        <v>2013</v>
      </c>
      <c r="G83" t="s">
        <v>235</v>
      </c>
      <c r="H83" s="97">
        <v>45</v>
      </c>
      <c r="I83" s="97">
        <v>1789</v>
      </c>
      <c r="J83" s="97">
        <v>0</v>
      </c>
      <c r="K83" s="98">
        <v>8998</v>
      </c>
      <c r="L83">
        <f t="shared" si="3"/>
        <v>39.755555555555553</v>
      </c>
      <c r="M83" s="99">
        <f t="shared" si="4"/>
        <v>199.95555555555555</v>
      </c>
      <c r="N83">
        <f t="shared" si="5"/>
        <v>8998</v>
      </c>
    </row>
    <row r="84" spans="1:14">
      <c r="A84" t="s">
        <v>325</v>
      </c>
      <c r="B84" t="s">
        <v>292</v>
      </c>
      <c r="D84" t="s">
        <v>244</v>
      </c>
      <c r="E84" t="s">
        <v>238</v>
      </c>
      <c r="F84">
        <v>2013</v>
      </c>
      <c r="G84" t="s">
        <v>235</v>
      </c>
      <c r="H84" s="97">
        <v>63.9</v>
      </c>
      <c r="I84" s="97">
        <v>2566</v>
      </c>
      <c r="J84" s="97">
        <v>0</v>
      </c>
      <c r="K84" s="98">
        <v>8585</v>
      </c>
      <c r="L84">
        <f t="shared" si="3"/>
        <v>40.156494522691709</v>
      </c>
      <c r="M84" s="99">
        <f t="shared" si="4"/>
        <v>134.35054773082942</v>
      </c>
      <c r="N84">
        <f t="shared" si="5"/>
        <v>8585</v>
      </c>
    </row>
    <row r="85" spans="1:14">
      <c r="A85" t="s">
        <v>326</v>
      </c>
      <c r="B85" t="s">
        <v>292</v>
      </c>
      <c r="D85" t="s">
        <v>244</v>
      </c>
      <c r="E85" t="s">
        <v>238</v>
      </c>
      <c r="F85">
        <v>2013</v>
      </c>
      <c r="G85" t="s">
        <v>235</v>
      </c>
      <c r="H85" s="97">
        <v>56</v>
      </c>
      <c r="I85" s="97">
        <v>2480</v>
      </c>
      <c r="J85" s="97">
        <v>0</v>
      </c>
      <c r="K85" s="98">
        <v>8900</v>
      </c>
      <c r="L85">
        <f t="shared" si="3"/>
        <v>44.285714285714285</v>
      </c>
      <c r="M85" s="99">
        <f t="shared" si="4"/>
        <v>158.92857142857142</v>
      </c>
      <c r="N85">
        <f t="shared" si="5"/>
        <v>8900</v>
      </c>
    </row>
    <row r="86" spans="1:14">
      <c r="A86" t="s">
        <v>327</v>
      </c>
      <c r="B86" t="s">
        <v>292</v>
      </c>
      <c r="D86" t="s">
        <v>244</v>
      </c>
      <c r="E86" t="s">
        <v>238</v>
      </c>
      <c r="F86">
        <v>2013</v>
      </c>
      <c r="G86" t="s">
        <v>235</v>
      </c>
      <c r="H86" s="97">
        <v>63.9</v>
      </c>
      <c r="I86" s="97">
        <v>2650</v>
      </c>
      <c r="J86" s="97">
        <v>0</v>
      </c>
      <c r="K86" s="98">
        <v>9875</v>
      </c>
      <c r="L86">
        <f t="shared" si="3"/>
        <v>41.471048513302037</v>
      </c>
      <c r="M86" s="99">
        <f t="shared" si="4"/>
        <v>154.53834115805947</v>
      </c>
      <c r="N86">
        <f t="shared" si="5"/>
        <v>9875</v>
      </c>
    </row>
    <row r="87" spans="1:14">
      <c r="A87" t="s">
        <v>328</v>
      </c>
      <c r="B87" t="s">
        <v>292</v>
      </c>
      <c r="C87" t="s">
        <v>52</v>
      </c>
      <c r="D87" t="s">
        <v>244</v>
      </c>
      <c r="E87" t="s">
        <v>234</v>
      </c>
      <c r="F87">
        <v>2013</v>
      </c>
      <c r="G87" t="s">
        <v>235</v>
      </c>
      <c r="H87" s="97">
        <v>45</v>
      </c>
      <c r="I87" s="97">
        <v>0</v>
      </c>
      <c r="J87" s="97">
        <v>95</v>
      </c>
      <c r="K87" s="98">
        <v>10598</v>
      </c>
      <c r="L87" t="str">
        <f t="shared" si="3"/>
        <v/>
      </c>
      <c r="M87" s="99">
        <f t="shared" si="4"/>
        <v>235.51111111111112</v>
      </c>
      <c r="N87" t="str">
        <f t="shared" si="5"/>
        <v/>
      </c>
    </row>
    <row r="88" spans="1:14">
      <c r="A88" t="s">
        <v>329</v>
      </c>
      <c r="B88" t="s">
        <v>292</v>
      </c>
      <c r="C88" t="s">
        <v>52</v>
      </c>
      <c r="D88" t="s">
        <v>244</v>
      </c>
      <c r="E88" t="s">
        <v>238</v>
      </c>
      <c r="F88">
        <v>2013</v>
      </c>
      <c r="G88" t="s">
        <v>235</v>
      </c>
      <c r="H88" s="97">
        <v>45</v>
      </c>
      <c r="I88" s="97">
        <v>2200</v>
      </c>
      <c r="J88" s="97">
        <v>0</v>
      </c>
      <c r="K88" s="98">
        <v>8000</v>
      </c>
      <c r="L88">
        <f t="shared" si="3"/>
        <v>48.888888888888886</v>
      </c>
      <c r="M88" s="99">
        <f t="shared" si="4"/>
        <v>177.77777777777777</v>
      </c>
      <c r="N88">
        <f t="shared" si="5"/>
        <v>8000</v>
      </c>
    </row>
    <row r="89" spans="1:14">
      <c r="A89" t="s">
        <v>330</v>
      </c>
      <c r="B89" t="s">
        <v>292</v>
      </c>
      <c r="D89" t="s">
        <v>244</v>
      </c>
      <c r="E89" t="s">
        <v>238</v>
      </c>
      <c r="F89">
        <v>2013</v>
      </c>
      <c r="G89" t="s">
        <v>235</v>
      </c>
      <c r="H89" s="97">
        <v>45</v>
      </c>
      <c r="I89" s="97">
        <v>1789</v>
      </c>
      <c r="J89" s="97">
        <v>0</v>
      </c>
      <c r="K89" s="98">
        <v>9247.89</v>
      </c>
      <c r="L89">
        <f t="shared" si="3"/>
        <v>39.755555555555553</v>
      </c>
      <c r="M89" s="99">
        <f t="shared" si="4"/>
        <v>205.50866666666664</v>
      </c>
      <c r="N89">
        <f t="shared" si="5"/>
        <v>9247.89</v>
      </c>
    </row>
    <row r="90" spans="1:14">
      <c r="A90" t="s">
        <v>331</v>
      </c>
      <c r="B90" t="s">
        <v>292</v>
      </c>
      <c r="C90" t="s">
        <v>52</v>
      </c>
      <c r="D90" t="s">
        <v>244</v>
      </c>
      <c r="E90" t="s">
        <v>234</v>
      </c>
      <c r="F90">
        <v>2013</v>
      </c>
      <c r="G90" t="s">
        <v>235</v>
      </c>
      <c r="H90" s="97">
        <v>64</v>
      </c>
      <c r="I90" s="97">
        <v>0</v>
      </c>
      <c r="J90" s="97">
        <v>94</v>
      </c>
      <c r="K90" s="98">
        <v>8934</v>
      </c>
      <c r="L90" t="str">
        <f t="shared" si="3"/>
        <v/>
      </c>
      <c r="M90" s="99">
        <f t="shared" si="4"/>
        <v>139.59375</v>
      </c>
      <c r="N90" t="str">
        <f t="shared" si="5"/>
        <v/>
      </c>
    </row>
    <row r="91" spans="1:14">
      <c r="A91" t="s">
        <v>332</v>
      </c>
      <c r="B91" t="s">
        <v>292</v>
      </c>
      <c r="D91" t="s">
        <v>244</v>
      </c>
      <c r="E91" t="s">
        <v>234</v>
      </c>
      <c r="F91">
        <v>2013</v>
      </c>
      <c r="G91" t="s">
        <v>235</v>
      </c>
      <c r="H91" s="97">
        <v>56</v>
      </c>
      <c r="I91" s="97">
        <v>0</v>
      </c>
      <c r="J91" s="97">
        <v>104</v>
      </c>
      <c r="K91" s="98">
        <v>9400</v>
      </c>
      <c r="L91" t="str">
        <f t="shared" si="3"/>
        <v/>
      </c>
      <c r="M91" s="99">
        <f t="shared" si="4"/>
        <v>167.85714285714286</v>
      </c>
      <c r="N91" t="str">
        <f t="shared" si="5"/>
        <v/>
      </c>
    </row>
    <row r="92" spans="1:14">
      <c r="A92" t="s">
        <v>333</v>
      </c>
      <c r="B92" t="s">
        <v>292</v>
      </c>
      <c r="C92" t="s">
        <v>52</v>
      </c>
      <c r="D92" t="s">
        <v>244</v>
      </c>
      <c r="E92" t="s">
        <v>238</v>
      </c>
      <c r="F92">
        <v>2013</v>
      </c>
      <c r="G92" t="s">
        <v>235</v>
      </c>
      <c r="H92" s="97">
        <v>45</v>
      </c>
      <c r="I92" s="97">
        <v>1733</v>
      </c>
      <c r="J92" s="97">
        <v>0</v>
      </c>
      <c r="K92" s="98">
        <v>10000</v>
      </c>
      <c r="L92">
        <f t="shared" si="3"/>
        <v>38.511111111111113</v>
      </c>
      <c r="M92" s="99">
        <f t="shared" si="4"/>
        <v>222.22222222222223</v>
      </c>
      <c r="N92">
        <f t="shared" si="5"/>
        <v>10000</v>
      </c>
    </row>
    <row r="93" spans="1:14">
      <c r="A93" t="s">
        <v>334</v>
      </c>
      <c r="B93" t="s">
        <v>292</v>
      </c>
      <c r="C93" t="s">
        <v>52</v>
      </c>
      <c r="D93" t="s">
        <v>244</v>
      </c>
      <c r="E93" t="s">
        <v>238</v>
      </c>
      <c r="F93">
        <v>2013</v>
      </c>
      <c r="G93" t="s">
        <v>235</v>
      </c>
      <c r="H93" s="97">
        <v>45</v>
      </c>
      <c r="I93" s="97">
        <v>1910</v>
      </c>
      <c r="J93" s="97">
        <v>0</v>
      </c>
      <c r="K93" s="98">
        <v>9343.41</v>
      </c>
      <c r="L93">
        <f t="shared" si="3"/>
        <v>42.444444444444443</v>
      </c>
      <c r="M93" s="99">
        <f t="shared" si="4"/>
        <v>207.63133333333332</v>
      </c>
      <c r="N93">
        <f t="shared" si="5"/>
        <v>9343.41</v>
      </c>
    </row>
    <row r="94" spans="1:14">
      <c r="A94" t="s">
        <v>335</v>
      </c>
      <c r="B94" t="s">
        <v>292</v>
      </c>
      <c r="C94" t="s">
        <v>52</v>
      </c>
      <c r="D94" t="s">
        <v>244</v>
      </c>
      <c r="E94" t="s">
        <v>238</v>
      </c>
      <c r="F94">
        <v>2013</v>
      </c>
      <c r="G94" t="s">
        <v>235</v>
      </c>
      <c r="H94" s="97">
        <v>45</v>
      </c>
      <c r="I94" s="97">
        <v>1970</v>
      </c>
      <c r="J94" s="97">
        <v>0</v>
      </c>
      <c r="K94" s="98">
        <v>10325</v>
      </c>
      <c r="L94">
        <f t="shared" si="3"/>
        <v>43.777777777777779</v>
      </c>
      <c r="M94" s="99">
        <f t="shared" si="4"/>
        <v>229.44444444444446</v>
      </c>
      <c r="N94">
        <f t="shared" si="5"/>
        <v>10325</v>
      </c>
    </row>
    <row r="95" spans="1:14">
      <c r="A95" t="s">
        <v>336</v>
      </c>
      <c r="B95" t="s">
        <v>292</v>
      </c>
      <c r="C95" t="s">
        <v>52</v>
      </c>
      <c r="D95" t="s">
        <v>244</v>
      </c>
      <c r="E95" t="s">
        <v>234</v>
      </c>
      <c r="F95">
        <v>2013</v>
      </c>
      <c r="G95" t="s">
        <v>235</v>
      </c>
      <c r="H95" s="97">
        <v>53.9</v>
      </c>
      <c r="I95" s="97">
        <v>0</v>
      </c>
      <c r="J95" s="97">
        <v>94</v>
      </c>
      <c r="K95" s="98">
        <v>10360</v>
      </c>
      <c r="L95" t="str">
        <f t="shared" si="3"/>
        <v/>
      </c>
      <c r="M95" s="99">
        <f t="shared" si="4"/>
        <v>192.20779220779221</v>
      </c>
      <c r="N95" t="str">
        <f t="shared" si="5"/>
        <v/>
      </c>
    </row>
    <row r="96" spans="1:14">
      <c r="A96" t="s">
        <v>337</v>
      </c>
      <c r="B96" t="s">
        <v>292</v>
      </c>
      <c r="C96" t="s">
        <v>52</v>
      </c>
      <c r="D96" t="s">
        <v>244</v>
      </c>
      <c r="E96" t="s">
        <v>238</v>
      </c>
      <c r="F96">
        <v>2013</v>
      </c>
      <c r="G96" t="s">
        <v>235</v>
      </c>
      <c r="H96" s="97">
        <v>65.7</v>
      </c>
      <c r="I96" s="97">
        <v>2096</v>
      </c>
      <c r="J96" s="97">
        <v>0</v>
      </c>
      <c r="K96" s="98">
        <v>11000</v>
      </c>
      <c r="L96">
        <f t="shared" si="3"/>
        <v>31.902587519025875</v>
      </c>
      <c r="M96" s="99">
        <f t="shared" si="4"/>
        <v>167.42770167427702</v>
      </c>
      <c r="N96">
        <f t="shared" si="5"/>
        <v>11000</v>
      </c>
    </row>
    <row r="97" spans="1:14">
      <c r="A97" t="s">
        <v>338</v>
      </c>
      <c r="B97" t="s">
        <v>292</v>
      </c>
      <c r="C97" t="s">
        <v>52</v>
      </c>
      <c r="D97" t="s">
        <v>244</v>
      </c>
      <c r="E97" t="s">
        <v>238</v>
      </c>
      <c r="F97">
        <v>2013</v>
      </c>
      <c r="G97" t="s">
        <v>235</v>
      </c>
      <c r="H97" s="97">
        <v>44.8</v>
      </c>
      <c r="I97" s="97">
        <v>1869</v>
      </c>
      <c r="J97" s="97">
        <v>0</v>
      </c>
      <c r="K97" s="98">
        <v>10941</v>
      </c>
      <c r="L97">
        <f t="shared" si="3"/>
        <v>41.71875</v>
      </c>
      <c r="M97" s="99">
        <f t="shared" si="4"/>
        <v>244.21875000000003</v>
      </c>
      <c r="N97">
        <f t="shared" si="5"/>
        <v>10941</v>
      </c>
    </row>
    <row r="98" spans="1:14">
      <c r="A98" t="s">
        <v>339</v>
      </c>
      <c r="B98" t="s">
        <v>292</v>
      </c>
      <c r="C98" t="s">
        <v>52</v>
      </c>
      <c r="D98" t="s">
        <v>244</v>
      </c>
      <c r="E98" t="s">
        <v>234</v>
      </c>
      <c r="F98">
        <v>2013</v>
      </c>
      <c r="G98" t="s">
        <v>235</v>
      </c>
      <c r="H98" s="97">
        <v>69.099999999999994</v>
      </c>
      <c r="I98" s="97">
        <v>0</v>
      </c>
      <c r="J98" s="97">
        <v>83</v>
      </c>
      <c r="K98" s="98">
        <v>7950</v>
      </c>
      <c r="L98" t="str">
        <f t="shared" si="3"/>
        <v/>
      </c>
      <c r="M98" s="99">
        <f t="shared" si="4"/>
        <v>115.05065123010131</v>
      </c>
      <c r="N98" t="str">
        <f t="shared" si="5"/>
        <v/>
      </c>
    </row>
    <row r="99" spans="1:14">
      <c r="A99" t="s">
        <v>340</v>
      </c>
      <c r="B99" t="s">
        <v>292</v>
      </c>
      <c r="C99" t="s">
        <v>52</v>
      </c>
      <c r="D99" t="s">
        <v>244</v>
      </c>
      <c r="E99" t="s">
        <v>238</v>
      </c>
      <c r="F99">
        <v>2013</v>
      </c>
      <c r="G99" t="s">
        <v>235</v>
      </c>
      <c r="H99" s="97">
        <v>55.7</v>
      </c>
      <c r="I99" s="97">
        <v>2114</v>
      </c>
      <c r="J99" s="97">
        <v>0</v>
      </c>
      <c r="K99" s="98">
        <v>9960</v>
      </c>
      <c r="L99">
        <f t="shared" si="3"/>
        <v>37.953321364452421</v>
      </c>
      <c r="M99" s="99">
        <f t="shared" si="4"/>
        <v>178.81508078994614</v>
      </c>
      <c r="N99">
        <f t="shared" si="5"/>
        <v>9960</v>
      </c>
    </row>
    <row r="100" spans="1:14">
      <c r="A100" t="s">
        <v>341</v>
      </c>
      <c r="B100" t="s">
        <v>292</v>
      </c>
      <c r="C100" t="s">
        <v>52</v>
      </c>
      <c r="D100" t="s">
        <v>244</v>
      </c>
      <c r="E100" t="s">
        <v>238</v>
      </c>
      <c r="F100">
        <v>2013</v>
      </c>
      <c r="G100" t="s">
        <v>235</v>
      </c>
      <c r="H100" s="97">
        <v>63.6</v>
      </c>
      <c r="I100" s="97">
        <v>2485</v>
      </c>
      <c r="J100" s="97">
        <v>0</v>
      </c>
      <c r="K100" s="98">
        <v>8500</v>
      </c>
      <c r="L100">
        <f t="shared" si="3"/>
        <v>39.072327044025158</v>
      </c>
      <c r="M100" s="99">
        <f t="shared" si="4"/>
        <v>133.64779874213835</v>
      </c>
      <c r="N100">
        <f t="shared" si="5"/>
        <v>8500</v>
      </c>
    </row>
    <row r="101" spans="1:14">
      <c r="A101" t="s">
        <v>342</v>
      </c>
      <c r="B101" t="s">
        <v>292</v>
      </c>
      <c r="C101" t="s">
        <v>52</v>
      </c>
      <c r="D101" t="s">
        <v>244</v>
      </c>
      <c r="E101" t="s">
        <v>238</v>
      </c>
      <c r="F101">
        <v>2014</v>
      </c>
      <c r="G101" t="s">
        <v>235</v>
      </c>
      <c r="H101" s="97">
        <v>55.7</v>
      </c>
      <c r="I101" s="97">
        <v>2528</v>
      </c>
      <c r="J101" s="97">
        <v>0</v>
      </c>
      <c r="K101" s="98">
        <v>11500</v>
      </c>
      <c r="L101">
        <f t="shared" si="3"/>
        <v>45.385996409335725</v>
      </c>
      <c r="M101" s="99">
        <f t="shared" si="4"/>
        <v>206.46319569120286</v>
      </c>
      <c r="N101">
        <f t="shared" si="5"/>
        <v>11500</v>
      </c>
    </row>
    <row r="102" spans="1:14">
      <c r="A102" t="s">
        <v>343</v>
      </c>
      <c r="B102" t="s">
        <v>292</v>
      </c>
      <c r="D102" t="s">
        <v>244</v>
      </c>
      <c r="E102" t="s">
        <v>234</v>
      </c>
      <c r="F102">
        <v>2014</v>
      </c>
      <c r="G102" t="s">
        <v>235</v>
      </c>
      <c r="H102" s="97">
        <v>40.200000000000003</v>
      </c>
      <c r="I102" s="97">
        <v>0</v>
      </c>
      <c r="J102" s="97">
        <v>74</v>
      </c>
      <c r="K102" s="98">
        <v>9579</v>
      </c>
      <c r="L102" t="str">
        <f t="shared" si="3"/>
        <v/>
      </c>
      <c r="M102" s="99">
        <f t="shared" si="4"/>
        <v>238.28358208955223</v>
      </c>
      <c r="N102" t="str">
        <f t="shared" si="5"/>
        <v/>
      </c>
    </row>
    <row r="103" spans="1:14">
      <c r="A103" t="s">
        <v>344</v>
      </c>
      <c r="B103" t="s">
        <v>292</v>
      </c>
      <c r="C103" t="s">
        <v>52</v>
      </c>
      <c r="D103" t="s">
        <v>244</v>
      </c>
      <c r="E103" t="s">
        <v>238</v>
      </c>
      <c r="F103">
        <v>2014</v>
      </c>
      <c r="G103" t="s">
        <v>235</v>
      </c>
      <c r="H103" s="97">
        <v>63.8</v>
      </c>
      <c r="I103" s="97">
        <v>2643</v>
      </c>
      <c r="J103" s="97">
        <v>0</v>
      </c>
      <c r="K103" s="98">
        <v>10500</v>
      </c>
      <c r="L103">
        <f t="shared" si="3"/>
        <v>41.426332288401255</v>
      </c>
      <c r="M103" s="99">
        <f t="shared" si="4"/>
        <v>164.57680250783699</v>
      </c>
      <c r="N103">
        <f t="shared" si="5"/>
        <v>10500</v>
      </c>
    </row>
    <row r="104" spans="1:14">
      <c r="A104" t="s">
        <v>345</v>
      </c>
      <c r="B104" t="s">
        <v>292</v>
      </c>
      <c r="C104" t="s">
        <v>52</v>
      </c>
      <c r="D104" t="s">
        <v>244</v>
      </c>
      <c r="E104" t="s">
        <v>238</v>
      </c>
      <c r="F104">
        <v>2014</v>
      </c>
      <c r="G104" t="s">
        <v>235</v>
      </c>
      <c r="H104" s="97">
        <v>64.400000000000006</v>
      </c>
      <c r="I104" s="97">
        <v>2619</v>
      </c>
      <c r="J104" s="97">
        <v>0</v>
      </c>
      <c r="K104" s="98">
        <v>8800</v>
      </c>
      <c r="L104">
        <f t="shared" si="3"/>
        <v>40.667701863354033</v>
      </c>
      <c r="M104" s="99">
        <f t="shared" si="4"/>
        <v>136.64596273291923</v>
      </c>
      <c r="N104">
        <f t="shared" si="5"/>
        <v>8800</v>
      </c>
    </row>
    <row r="105" spans="1:14">
      <c r="A105" t="s">
        <v>346</v>
      </c>
      <c r="B105" t="s">
        <v>292</v>
      </c>
      <c r="C105" t="s">
        <v>52</v>
      </c>
      <c r="D105" t="s">
        <v>244</v>
      </c>
      <c r="E105" t="s">
        <v>234</v>
      </c>
      <c r="F105">
        <v>2014</v>
      </c>
      <c r="G105" t="s">
        <v>235</v>
      </c>
      <c r="H105" s="97">
        <v>55.7</v>
      </c>
      <c r="I105" s="97">
        <v>0</v>
      </c>
      <c r="J105" s="97">
        <v>87</v>
      </c>
      <c r="K105" s="98">
        <v>9600</v>
      </c>
      <c r="L105" t="str">
        <f t="shared" si="3"/>
        <v/>
      </c>
      <c r="M105" s="99">
        <f t="shared" si="4"/>
        <v>172.35188509874325</v>
      </c>
      <c r="N105" t="str">
        <f t="shared" si="5"/>
        <v/>
      </c>
    </row>
    <row r="106" spans="1:14">
      <c r="A106" t="s">
        <v>347</v>
      </c>
      <c r="B106" t="s">
        <v>292</v>
      </c>
      <c r="C106" t="s">
        <v>52</v>
      </c>
      <c r="D106" t="s">
        <v>244</v>
      </c>
      <c r="E106" t="s">
        <v>234</v>
      </c>
      <c r="F106">
        <v>2014</v>
      </c>
      <c r="G106" t="s">
        <v>235</v>
      </c>
      <c r="H106" s="97">
        <v>55.7</v>
      </c>
      <c r="I106" s="97">
        <v>0</v>
      </c>
      <c r="J106" s="97">
        <v>102</v>
      </c>
      <c r="K106" s="98">
        <v>8350</v>
      </c>
      <c r="L106" t="str">
        <f t="shared" si="3"/>
        <v/>
      </c>
      <c r="M106" s="99">
        <f t="shared" si="4"/>
        <v>149.91023339317772</v>
      </c>
      <c r="N106" t="str">
        <f t="shared" si="5"/>
        <v/>
      </c>
    </row>
    <row r="107" spans="1:14">
      <c r="A107" t="s">
        <v>348</v>
      </c>
      <c r="B107" t="s">
        <v>292</v>
      </c>
      <c r="C107" t="s">
        <v>52</v>
      </c>
      <c r="D107" t="s">
        <v>244</v>
      </c>
      <c r="E107" t="s">
        <v>238</v>
      </c>
      <c r="F107">
        <v>2014</v>
      </c>
      <c r="G107" t="s">
        <v>235</v>
      </c>
      <c r="H107" s="97">
        <v>51.9</v>
      </c>
      <c r="I107" s="97">
        <v>1254</v>
      </c>
      <c r="J107" s="97">
        <v>0</v>
      </c>
      <c r="K107" s="98">
        <v>9500</v>
      </c>
      <c r="L107">
        <f t="shared" si="3"/>
        <v>24.161849710982661</v>
      </c>
      <c r="M107" s="99">
        <f t="shared" si="4"/>
        <v>183.04431599229287</v>
      </c>
      <c r="N107">
        <f t="shared" si="5"/>
        <v>9500</v>
      </c>
    </row>
    <row r="108" spans="1:14">
      <c r="A108" t="s">
        <v>349</v>
      </c>
      <c r="B108" t="s">
        <v>292</v>
      </c>
      <c r="C108" t="s">
        <v>52</v>
      </c>
      <c r="D108" t="s">
        <v>244</v>
      </c>
      <c r="E108" t="s">
        <v>238</v>
      </c>
      <c r="F108">
        <v>2014</v>
      </c>
      <c r="G108" t="s">
        <v>235</v>
      </c>
      <c r="H108" s="97">
        <v>64</v>
      </c>
      <c r="I108" s="97">
        <v>2435</v>
      </c>
      <c r="J108" s="97">
        <v>0</v>
      </c>
      <c r="K108" s="98">
        <v>9000</v>
      </c>
      <c r="L108">
        <f t="shared" si="3"/>
        <v>38.046875</v>
      </c>
      <c r="M108" s="99">
        <f t="shared" si="4"/>
        <v>140.625</v>
      </c>
      <c r="N108">
        <f t="shared" si="5"/>
        <v>9000</v>
      </c>
    </row>
    <row r="109" spans="1:14">
      <c r="A109" t="s">
        <v>350</v>
      </c>
      <c r="B109" t="s">
        <v>292</v>
      </c>
      <c r="C109" t="s">
        <v>52</v>
      </c>
      <c r="D109" t="s">
        <v>244</v>
      </c>
      <c r="E109" t="s">
        <v>234</v>
      </c>
      <c r="F109">
        <v>2014</v>
      </c>
      <c r="G109" t="s">
        <v>235</v>
      </c>
      <c r="H109" s="97">
        <v>44.8</v>
      </c>
      <c r="I109" s="97">
        <v>0</v>
      </c>
      <c r="J109" s="97">
        <v>90</v>
      </c>
      <c r="K109" s="98">
        <v>9527</v>
      </c>
      <c r="L109" t="str">
        <f t="shared" si="3"/>
        <v/>
      </c>
      <c r="M109" s="99">
        <f t="shared" si="4"/>
        <v>212.65625</v>
      </c>
      <c r="N109" t="str">
        <f t="shared" si="5"/>
        <v/>
      </c>
    </row>
    <row r="110" spans="1:14">
      <c r="A110" t="s">
        <v>351</v>
      </c>
      <c r="B110" t="s">
        <v>292</v>
      </c>
      <c r="C110" t="s">
        <v>52</v>
      </c>
      <c r="D110" t="s">
        <v>244</v>
      </c>
      <c r="E110" t="s">
        <v>238</v>
      </c>
      <c r="F110">
        <v>2014</v>
      </c>
      <c r="G110" t="s">
        <v>235</v>
      </c>
      <c r="H110" s="97">
        <v>55.7</v>
      </c>
      <c r="I110" s="97">
        <v>0</v>
      </c>
      <c r="J110" s="97">
        <v>112</v>
      </c>
      <c r="K110" s="98">
        <v>10000</v>
      </c>
      <c r="L110">
        <f t="shared" si="3"/>
        <v>0</v>
      </c>
      <c r="M110" s="99">
        <f t="shared" si="4"/>
        <v>179.53321364452424</v>
      </c>
      <c r="N110">
        <f t="shared" si="5"/>
        <v>10000</v>
      </c>
    </row>
    <row r="111" spans="1:14">
      <c r="A111" t="s">
        <v>352</v>
      </c>
      <c r="B111" t="s">
        <v>292</v>
      </c>
      <c r="C111" t="s">
        <v>52</v>
      </c>
      <c r="D111" t="s">
        <v>244</v>
      </c>
      <c r="E111" t="s">
        <v>238</v>
      </c>
      <c r="F111">
        <v>2014</v>
      </c>
      <c r="G111" t="s">
        <v>235</v>
      </c>
      <c r="H111" s="97">
        <v>55.7</v>
      </c>
      <c r="I111" s="97">
        <v>2133</v>
      </c>
      <c r="J111" s="97">
        <v>0</v>
      </c>
      <c r="K111" s="98">
        <v>9568</v>
      </c>
      <c r="L111">
        <f t="shared" si="3"/>
        <v>38.29443447037702</v>
      </c>
      <c r="M111" s="99">
        <f t="shared" si="4"/>
        <v>171.77737881508079</v>
      </c>
      <c r="N111">
        <f t="shared" si="5"/>
        <v>9568</v>
      </c>
    </row>
    <row r="112" spans="1:14">
      <c r="A112" t="s">
        <v>353</v>
      </c>
      <c r="B112" t="s">
        <v>292</v>
      </c>
      <c r="C112" t="s">
        <v>52</v>
      </c>
      <c r="D112" t="s">
        <v>244</v>
      </c>
      <c r="E112" t="s">
        <v>234</v>
      </c>
      <c r="F112">
        <v>2014</v>
      </c>
      <c r="G112" t="s">
        <v>235</v>
      </c>
      <c r="H112" s="97">
        <v>55.7</v>
      </c>
      <c r="I112" s="97">
        <v>0</v>
      </c>
      <c r="J112" s="97">
        <v>86</v>
      </c>
      <c r="K112" s="98">
        <v>9855</v>
      </c>
      <c r="L112" t="str">
        <f t="shared" si="3"/>
        <v/>
      </c>
      <c r="M112" s="99">
        <f t="shared" si="4"/>
        <v>176.92998204667862</v>
      </c>
      <c r="N112" t="str">
        <f t="shared" si="5"/>
        <v/>
      </c>
    </row>
    <row r="113" spans="1:14">
      <c r="A113" t="s">
        <v>354</v>
      </c>
      <c r="B113" t="s">
        <v>292</v>
      </c>
      <c r="C113" t="s">
        <v>52</v>
      </c>
      <c r="D113" t="s">
        <v>244</v>
      </c>
      <c r="E113" t="s">
        <v>238</v>
      </c>
      <c r="F113">
        <v>2014</v>
      </c>
      <c r="G113" t="s">
        <v>235</v>
      </c>
      <c r="H113" s="97">
        <v>55.7</v>
      </c>
      <c r="I113" s="97">
        <v>2323</v>
      </c>
      <c r="J113" s="97">
        <v>0</v>
      </c>
      <c r="K113" s="98">
        <v>9910</v>
      </c>
      <c r="L113">
        <f t="shared" si="3"/>
        <v>41.70556552962298</v>
      </c>
      <c r="M113" s="99">
        <f t="shared" si="4"/>
        <v>177.9174147217235</v>
      </c>
      <c r="N113">
        <f t="shared" si="5"/>
        <v>9910</v>
      </c>
    </row>
    <row r="114" spans="1:14">
      <c r="M114" s="99"/>
    </row>
    <row r="115" spans="1:14">
      <c r="G115" t="s">
        <v>358</v>
      </c>
      <c r="H115" s="47">
        <f>AVERAGE(H$4:H$113)</f>
        <v>65.849090909090876</v>
      </c>
      <c r="I115" s="47">
        <f>AVERAGE(I$4:I$113)</f>
        <v>1382.090909090909</v>
      </c>
      <c r="K115" s="47">
        <f>AVERAGE(K$4:K$113)</f>
        <v>11849.765272727271</v>
      </c>
      <c r="L115" s="47">
        <f>AVERAGE(L$4:L$113)</f>
        <v>40.502274425902506</v>
      </c>
      <c r="M115" s="47">
        <f>AVERAGE(M$4:M$113)</f>
        <v>184.50345794862832</v>
      </c>
      <c r="N115" s="192">
        <f>AVERAGE(N$4:N$113)</f>
        <v>9321.8505479452051</v>
      </c>
    </row>
    <row r="116" spans="1:14">
      <c r="G116" t="s">
        <v>359</v>
      </c>
      <c r="H116" s="47">
        <f>MEDIAN(H$4:H$113)</f>
        <v>50</v>
      </c>
      <c r="I116" s="47">
        <f>MEDIAN(I$4:I$113)</f>
        <v>1714.5</v>
      </c>
      <c r="K116" s="47">
        <f>MEDIAN(K$4:K$113)</f>
        <v>8700</v>
      </c>
      <c r="L116" s="47">
        <f>MEDIAN(L$4:L$113)</f>
        <v>39.956025039123631</v>
      </c>
      <c r="M116" s="47">
        <f>MEDIAN(M$4:M$113)</f>
        <v>172.35188509874325</v>
      </c>
      <c r="N116" s="192">
        <f>MEDIAN(N$4:N$113)</f>
        <v>8750</v>
      </c>
    </row>
    <row r="117" spans="1:14">
      <c r="G117" t="s">
        <v>360</v>
      </c>
      <c r="H117" s="47"/>
      <c r="L117" s="47">
        <f>STDEV(L$4:L$113)</f>
        <v>15.299369926566319</v>
      </c>
      <c r="M117" s="47">
        <f>STDEV(M$4:M$113)</f>
        <v>58.37131712436441</v>
      </c>
    </row>
    <row r="118" spans="1:14">
      <c r="H118" s="47"/>
      <c r="L118" s="76">
        <f>L117/L115</f>
        <v>0.37774100697865698</v>
      </c>
      <c r="M118" s="76">
        <f>M117/M115</f>
        <v>0.31636977308369396</v>
      </c>
    </row>
  </sheetData>
  <autoFilter ref="A3:K113"/>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8"/>
  <dimension ref="A1:G155"/>
  <sheetViews>
    <sheetView workbookViewId="0">
      <selection activeCell="C7" sqref="C7"/>
    </sheetView>
  </sheetViews>
  <sheetFormatPr defaultRowHeight="12.75"/>
  <cols>
    <col min="1" max="1" width="30.28515625" style="110" customWidth="1"/>
    <col min="2" max="2" width="12.7109375" style="110" customWidth="1"/>
    <col min="3" max="3" width="11.5703125" style="110" customWidth="1"/>
    <col min="4" max="4" width="12.85546875" style="110" customWidth="1"/>
    <col min="5" max="5" width="11.28515625" style="110" bestFit="1" customWidth="1"/>
    <col min="6" max="6" width="13.28515625" style="110" customWidth="1"/>
    <col min="7" max="7" width="20.42578125" style="110" customWidth="1"/>
    <col min="8" max="8" width="15.7109375" style="110" customWidth="1"/>
    <col min="9" max="9" width="14.140625" style="110" customWidth="1"/>
    <col min="10" max="10" width="18.28515625" style="110" customWidth="1"/>
    <col min="11" max="11" width="11" style="110" customWidth="1"/>
    <col min="12" max="12" width="12.42578125" style="110" customWidth="1"/>
    <col min="13" max="13" width="14.7109375" style="110" customWidth="1"/>
    <col min="14" max="14" width="19.5703125" style="110" customWidth="1"/>
    <col min="15" max="15" width="14.42578125" style="110" customWidth="1"/>
    <col min="16" max="16" width="9.140625" style="110"/>
    <col min="17" max="17" width="12.85546875" style="110" customWidth="1"/>
    <col min="18" max="18" width="9.140625" style="110"/>
    <col min="19" max="19" width="14.28515625" style="110" customWidth="1"/>
    <col min="20" max="21" width="9.140625" style="110"/>
    <col min="22" max="22" width="13.7109375" style="110" customWidth="1"/>
    <col min="23" max="27" width="9.140625" style="110"/>
    <col min="28" max="28" width="24.28515625" style="110" customWidth="1"/>
    <col min="29" max="29" width="9.140625" style="110"/>
    <col min="30" max="31" width="13" style="110" customWidth="1"/>
    <col min="32" max="32" width="9.140625" style="110"/>
    <col min="33" max="33" width="11.140625" style="110" customWidth="1"/>
    <col min="34" max="256" width="9.140625" style="110"/>
    <col min="257" max="257" width="30.28515625" style="110" customWidth="1"/>
    <col min="258" max="258" width="12.7109375" style="110" customWidth="1"/>
    <col min="259" max="259" width="11.5703125" style="110" customWidth="1"/>
    <col min="260" max="260" width="12.85546875" style="110" customWidth="1"/>
    <col min="261" max="261" width="11.28515625" style="110" bestFit="1" customWidth="1"/>
    <col min="262" max="262" width="13.28515625" style="110" customWidth="1"/>
    <col min="263" max="263" width="20.42578125" style="110" customWidth="1"/>
    <col min="264" max="264" width="15.7109375" style="110" customWidth="1"/>
    <col min="265" max="265" width="14.140625" style="110" customWidth="1"/>
    <col min="266" max="266" width="18.28515625" style="110" customWidth="1"/>
    <col min="267" max="267" width="11" style="110" customWidth="1"/>
    <col min="268" max="268" width="12.42578125" style="110" customWidth="1"/>
    <col min="269" max="269" width="14.7109375" style="110" customWidth="1"/>
    <col min="270" max="270" width="19.5703125" style="110" customWidth="1"/>
    <col min="271" max="271" width="14.42578125" style="110" customWidth="1"/>
    <col min="272" max="272" width="9.140625" style="110"/>
    <col min="273" max="273" width="12.85546875" style="110" customWidth="1"/>
    <col min="274" max="274" width="9.140625" style="110"/>
    <col min="275" max="275" width="14.28515625" style="110" customWidth="1"/>
    <col min="276" max="277" width="9.140625" style="110"/>
    <col min="278" max="278" width="13.7109375" style="110" customWidth="1"/>
    <col min="279" max="283" width="9.140625" style="110"/>
    <col min="284" max="284" width="24.28515625" style="110" customWidth="1"/>
    <col min="285" max="285" width="9.140625" style="110"/>
    <col min="286" max="287" width="13" style="110" customWidth="1"/>
    <col min="288" max="288" width="9.140625" style="110"/>
    <col min="289" max="289" width="11.140625" style="110" customWidth="1"/>
    <col min="290" max="512" width="9.140625" style="110"/>
    <col min="513" max="513" width="30.28515625" style="110" customWidth="1"/>
    <col min="514" max="514" width="12.7109375" style="110" customWidth="1"/>
    <col min="515" max="515" width="11.5703125" style="110" customWidth="1"/>
    <col min="516" max="516" width="12.85546875" style="110" customWidth="1"/>
    <col min="517" max="517" width="11.28515625" style="110" bestFit="1" customWidth="1"/>
    <col min="518" max="518" width="13.28515625" style="110" customWidth="1"/>
    <col min="519" max="519" width="20.42578125" style="110" customWidth="1"/>
    <col min="520" max="520" width="15.7109375" style="110" customWidth="1"/>
    <col min="521" max="521" width="14.140625" style="110" customWidth="1"/>
    <col min="522" max="522" width="18.28515625" style="110" customWidth="1"/>
    <col min="523" max="523" width="11" style="110" customWidth="1"/>
    <col min="524" max="524" width="12.42578125" style="110" customWidth="1"/>
    <col min="525" max="525" width="14.7109375" style="110" customWidth="1"/>
    <col min="526" max="526" width="19.5703125" style="110" customWidth="1"/>
    <col min="527" max="527" width="14.42578125" style="110" customWidth="1"/>
    <col min="528" max="528" width="9.140625" style="110"/>
    <col min="529" max="529" width="12.85546875" style="110" customWidth="1"/>
    <col min="530" max="530" width="9.140625" style="110"/>
    <col min="531" max="531" width="14.28515625" style="110" customWidth="1"/>
    <col min="532" max="533" width="9.140625" style="110"/>
    <col min="534" max="534" width="13.7109375" style="110" customWidth="1"/>
    <col min="535" max="539" width="9.140625" style="110"/>
    <col min="540" max="540" width="24.28515625" style="110" customWidth="1"/>
    <col min="541" max="541" width="9.140625" style="110"/>
    <col min="542" max="543" width="13" style="110" customWidth="1"/>
    <col min="544" max="544" width="9.140625" style="110"/>
    <col min="545" max="545" width="11.140625" style="110" customWidth="1"/>
    <col min="546" max="768" width="9.140625" style="110"/>
    <col min="769" max="769" width="30.28515625" style="110" customWidth="1"/>
    <col min="770" max="770" width="12.7109375" style="110" customWidth="1"/>
    <col min="771" max="771" width="11.5703125" style="110" customWidth="1"/>
    <col min="772" max="772" width="12.85546875" style="110" customWidth="1"/>
    <col min="773" max="773" width="11.28515625" style="110" bestFit="1" customWidth="1"/>
    <col min="774" max="774" width="13.28515625" style="110" customWidth="1"/>
    <col min="775" max="775" width="20.42578125" style="110" customWidth="1"/>
    <col min="776" max="776" width="15.7109375" style="110" customWidth="1"/>
    <col min="777" max="777" width="14.140625" style="110" customWidth="1"/>
    <col min="778" max="778" width="18.28515625" style="110" customWidth="1"/>
    <col min="779" max="779" width="11" style="110" customWidth="1"/>
    <col min="780" max="780" width="12.42578125" style="110" customWidth="1"/>
    <col min="781" max="781" width="14.7109375" style="110" customWidth="1"/>
    <col min="782" max="782" width="19.5703125" style="110" customWidth="1"/>
    <col min="783" max="783" width="14.42578125" style="110" customWidth="1"/>
    <col min="784" max="784" width="9.140625" style="110"/>
    <col min="785" max="785" width="12.85546875" style="110" customWidth="1"/>
    <col min="786" max="786" width="9.140625" style="110"/>
    <col min="787" max="787" width="14.28515625" style="110" customWidth="1"/>
    <col min="788" max="789" width="9.140625" style="110"/>
    <col min="790" max="790" width="13.7109375" style="110" customWidth="1"/>
    <col min="791" max="795" width="9.140625" style="110"/>
    <col min="796" max="796" width="24.28515625" style="110" customWidth="1"/>
    <col min="797" max="797" width="9.140625" style="110"/>
    <col min="798" max="799" width="13" style="110" customWidth="1"/>
    <col min="800" max="800" width="9.140625" style="110"/>
    <col min="801" max="801" width="11.140625" style="110" customWidth="1"/>
    <col min="802" max="1024" width="9.140625" style="110"/>
    <col min="1025" max="1025" width="30.28515625" style="110" customWidth="1"/>
    <col min="1026" max="1026" width="12.7109375" style="110" customWidth="1"/>
    <col min="1027" max="1027" width="11.5703125" style="110" customWidth="1"/>
    <col min="1028" max="1028" width="12.85546875" style="110" customWidth="1"/>
    <col min="1029" max="1029" width="11.28515625" style="110" bestFit="1" customWidth="1"/>
    <col min="1030" max="1030" width="13.28515625" style="110" customWidth="1"/>
    <col min="1031" max="1031" width="20.42578125" style="110" customWidth="1"/>
    <col min="1032" max="1032" width="15.7109375" style="110" customWidth="1"/>
    <col min="1033" max="1033" width="14.140625" style="110" customWidth="1"/>
    <col min="1034" max="1034" width="18.28515625" style="110" customWidth="1"/>
    <col min="1035" max="1035" width="11" style="110" customWidth="1"/>
    <col min="1036" max="1036" width="12.42578125" style="110" customWidth="1"/>
    <col min="1037" max="1037" width="14.7109375" style="110" customWidth="1"/>
    <col min="1038" max="1038" width="19.5703125" style="110" customWidth="1"/>
    <col min="1039" max="1039" width="14.42578125" style="110" customWidth="1"/>
    <col min="1040" max="1040" width="9.140625" style="110"/>
    <col min="1041" max="1041" width="12.85546875" style="110" customWidth="1"/>
    <col min="1042" max="1042" width="9.140625" style="110"/>
    <col min="1043" max="1043" width="14.28515625" style="110" customWidth="1"/>
    <col min="1044" max="1045" width="9.140625" style="110"/>
    <col min="1046" max="1046" width="13.7109375" style="110" customWidth="1"/>
    <col min="1047" max="1051" width="9.140625" style="110"/>
    <col min="1052" max="1052" width="24.28515625" style="110" customWidth="1"/>
    <col min="1053" max="1053" width="9.140625" style="110"/>
    <col min="1054" max="1055" width="13" style="110" customWidth="1"/>
    <col min="1056" max="1056" width="9.140625" style="110"/>
    <col min="1057" max="1057" width="11.140625" style="110" customWidth="1"/>
    <col min="1058" max="1280" width="9.140625" style="110"/>
    <col min="1281" max="1281" width="30.28515625" style="110" customWidth="1"/>
    <col min="1282" max="1282" width="12.7109375" style="110" customWidth="1"/>
    <col min="1283" max="1283" width="11.5703125" style="110" customWidth="1"/>
    <col min="1284" max="1284" width="12.85546875" style="110" customWidth="1"/>
    <col min="1285" max="1285" width="11.28515625" style="110" bestFit="1" customWidth="1"/>
    <col min="1286" max="1286" width="13.28515625" style="110" customWidth="1"/>
    <col min="1287" max="1287" width="20.42578125" style="110" customWidth="1"/>
    <col min="1288" max="1288" width="15.7109375" style="110" customWidth="1"/>
    <col min="1289" max="1289" width="14.140625" style="110" customWidth="1"/>
    <col min="1290" max="1290" width="18.28515625" style="110" customWidth="1"/>
    <col min="1291" max="1291" width="11" style="110" customWidth="1"/>
    <col min="1292" max="1292" width="12.42578125" style="110" customWidth="1"/>
    <col min="1293" max="1293" width="14.7109375" style="110" customWidth="1"/>
    <col min="1294" max="1294" width="19.5703125" style="110" customWidth="1"/>
    <col min="1295" max="1295" width="14.42578125" style="110" customWidth="1"/>
    <col min="1296" max="1296" width="9.140625" style="110"/>
    <col min="1297" max="1297" width="12.85546875" style="110" customWidth="1"/>
    <col min="1298" max="1298" width="9.140625" style="110"/>
    <col min="1299" max="1299" width="14.28515625" style="110" customWidth="1"/>
    <col min="1300" max="1301" width="9.140625" style="110"/>
    <col min="1302" max="1302" width="13.7109375" style="110" customWidth="1"/>
    <col min="1303" max="1307" width="9.140625" style="110"/>
    <col min="1308" max="1308" width="24.28515625" style="110" customWidth="1"/>
    <col min="1309" max="1309" width="9.140625" style="110"/>
    <col min="1310" max="1311" width="13" style="110" customWidth="1"/>
    <col min="1312" max="1312" width="9.140625" style="110"/>
    <col min="1313" max="1313" width="11.140625" style="110" customWidth="1"/>
    <col min="1314" max="1536" width="9.140625" style="110"/>
    <col min="1537" max="1537" width="30.28515625" style="110" customWidth="1"/>
    <col min="1538" max="1538" width="12.7109375" style="110" customWidth="1"/>
    <col min="1539" max="1539" width="11.5703125" style="110" customWidth="1"/>
    <col min="1540" max="1540" width="12.85546875" style="110" customWidth="1"/>
    <col min="1541" max="1541" width="11.28515625" style="110" bestFit="1" customWidth="1"/>
    <col min="1542" max="1542" width="13.28515625" style="110" customWidth="1"/>
    <col min="1543" max="1543" width="20.42578125" style="110" customWidth="1"/>
    <col min="1544" max="1544" width="15.7109375" style="110" customWidth="1"/>
    <col min="1545" max="1545" width="14.140625" style="110" customWidth="1"/>
    <col min="1546" max="1546" width="18.28515625" style="110" customWidth="1"/>
    <col min="1547" max="1547" width="11" style="110" customWidth="1"/>
    <col min="1548" max="1548" width="12.42578125" style="110" customWidth="1"/>
    <col min="1549" max="1549" width="14.7109375" style="110" customWidth="1"/>
    <col min="1550" max="1550" width="19.5703125" style="110" customWidth="1"/>
    <col min="1551" max="1551" width="14.42578125" style="110" customWidth="1"/>
    <col min="1552" max="1552" width="9.140625" style="110"/>
    <col min="1553" max="1553" width="12.85546875" style="110" customWidth="1"/>
    <col min="1554" max="1554" width="9.140625" style="110"/>
    <col min="1555" max="1555" width="14.28515625" style="110" customWidth="1"/>
    <col min="1556" max="1557" width="9.140625" style="110"/>
    <col min="1558" max="1558" width="13.7109375" style="110" customWidth="1"/>
    <col min="1559" max="1563" width="9.140625" style="110"/>
    <col min="1564" max="1564" width="24.28515625" style="110" customWidth="1"/>
    <col min="1565" max="1565" width="9.140625" style="110"/>
    <col min="1566" max="1567" width="13" style="110" customWidth="1"/>
    <col min="1568" max="1568" width="9.140625" style="110"/>
    <col min="1569" max="1569" width="11.140625" style="110" customWidth="1"/>
    <col min="1570" max="1792" width="9.140625" style="110"/>
    <col min="1793" max="1793" width="30.28515625" style="110" customWidth="1"/>
    <col min="1794" max="1794" width="12.7109375" style="110" customWidth="1"/>
    <col min="1795" max="1795" width="11.5703125" style="110" customWidth="1"/>
    <col min="1796" max="1796" width="12.85546875" style="110" customWidth="1"/>
    <col min="1797" max="1797" width="11.28515625" style="110" bestFit="1" customWidth="1"/>
    <col min="1798" max="1798" width="13.28515625" style="110" customWidth="1"/>
    <col min="1799" max="1799" width="20.42578125" style="110" customWidth="1"/>
    <col min="1800" max="1800" width="15.7109375" style="110" customWidth="1"/>
    <col min="1801" max="1801" width="14.140625" style="110" customWidth="1"/>
    <col min="1802" max="1802" width="18.28515625" style="110" customWidth="1"/>
    <col min="1803" max="1803" width="11" style="110" customWidth="1"/>
    <col min="1804" max="1804" width="12.42578125" style="110" customWidth="1"/>
    <col min="1805" max="1805" width="14.7109375" style="110" customWidth="1"/>
    <col min="1806" max="1806" width="19.5703125" style="110" customWidth="1"/>
    <col min="1807" max="1807" width="14.42578125" style="110" customWidth="1"/>
    <col min="1808" max="1808" width="9.140625" style="110"/>
    <col min="1809" max="1809" width="12.85546875" style="110" customWidth="1"/>
    <col min="1810" max="1810" width="9.140625" style="110"/>
    <col min="1811" max="1811" width="14.28515625" style="110" customWidth="1"/>
    <col min="1812" max="1813" width="9.140625" style="110"/>
    <col min="1814" max="1814" width="13.7109375" style="110" customWidth="1"/>
    <col min="1815" max="1819" width="9.140625" style="110"/>
    <col min="1820" max="1820" width="24.28515625" style="110" customWidth="1"/>
    <col min="1821" max="1821" width="9.140625" style="110"/>
    <col min="1822" max="1823" width="13" style="110" customWidth="1"/>
    <col min="1824" max="1824" width="9.140625" style="110"/>
    <col min="1825" max="1825" width="11.140625" style="110" customWidth="1"/>
    <col min="1826" max="2048" width="9.140625" style="110"/>
    <col min="2049" max="2049" width="30.28515625" style="110" customWidth="1"/>
    <col min="2050" max="2050" width="12.7109375" style="110" customWidth="1"/>
    <col min="2051" max="2051" width="11.5703125" style="110" customWidth="1"/>
    <col min="2052" max="2052" width="12.85546875" style="110" customWidth="1"/>
    <col min="2053" max="2053" width="11.28515625" style="110" bestFit="1" customWidth="1"/>
    <col min="2054" max="2054" width="13.28515625" style="110" customWidth="1"/>
    <col min="2055" max="2055" width="20.42578125" style="110" customWidth="1"/>
    <col min="2056" max="2056" width="15.7109375" style="110" customWidth="1"/>
    <col min="2057" max="2057" width="14.140625" style="110" customWidth="1"/>
    <col min="2058" max="2058" width="18.28515625" style="110" customWidth="1"/>
    <col min="2059" max="2059" width="11" style="110" customWidth="1"/>
    <col min="2060" max="2060" width="12.42578125" style="110" customWidth="1"/>
    <col min="2061" max="2061" width="14.7109375" style="110" customWidth="1"/>
    <col min="2062" max="2062" width="19.5703125" style="110" customWidth="1"/>
    <col min="2063" max="2063" width="14.42578125" style="110" customWidth="1"/>
    <col min="2064" max="2064" width="9.140625" style="110"/>
    <col min="2065" max="2065" width="12.85546875" style="110" customWidth="1"/>
    <col min="2066" max="2066" width="9.140625" style="110"/>
    <col min="2067" max="2067" width="14.28515625" style="110" customWidth="1"/>
    <col min="2068" max="2069" width="9.140625" style="110"/>
    <col min="2070" max="2070" width="13.7109375" style="110" customWidth="1"/>
    <col min="2071" max="2075" width="9.140625" style="110"/>
    <col min="2076" max="2076" width="24.28515625" style="110" customWidth="1"/>
    <col min="2077" max="2077" width="9.140625" style="110"/>
    <col min="2078" max="2079" width="13" style="110" customWidth="1"/>
    <col min="2080" max="2080" width="9.140625" style="110"/>
    <col min="2081" max="2081" width="11.140625" style="110" customWidth="1"/>
    <col min="2082" max="2304" width="9.140625" style="110"/>
    <col min="2305" max="2305" width="30.28515625" style="110" customWidth="1"/>
    <col min="2306" max="2306" width="12.7109375" style="110" customWidth="1"/>
    <col min="2307" max="2307" width="11.5703125" style="110" customWidth="1"/>
    <col min="2308" max="2308" width="12.85546875" style="110" customWidth="1"/>
    <col min="2309" max="2309" width="11.28515625" style="110" bestFit="1" customWidth="1"/>
    <col min="2310" max="2310" width="13.28515625" style="110" customWidth="1"/>
    <col min="2311" max="2311" width="20.42578125" style="110" customWidth="1"/>
    <col min="2312" max="2312" width="15.7109375" style="110" customWidth="1"/>
    <col min="2313" max="2313" width="14.140625" style="110" customWidth="1"/>
    <col min="2314" max="2314" width="18.28515625" style="110" customWidth="1"/>
    <col min="2315" max="2315" width="11" style="110" customWidth="1"/>
    <col min="2316" max="2316" width="12.42578125" style="110" customWidth="1"/>
    <col min="2317" max="2317" width="14.7109375" style="110" customWidth="1"/>
    <col min="2318" max="2318" width="19.5703125" style="110" customWidth="1"/>
    <col min="2319" max="2319" width="14.42578125" style="110" customWidth="1"/>
    <col min="2320" max="2320" width="9.140625" style="110"/>
    <col min="2321" max="2321" width="12.85546875" style="110" customWidth="1"/>
    <col min="2322" max="2322" width="9.140625" style="110"/>
    <col min="2323" max="2323" width="14.28515625" style="110" customWidth="1"/>
    <col min="2324" max="2325" width="9.140625" style="110"/>
    <col min="2326" max="2326" width="13.7109375" style="110" customWidth="1"/>
    <col min="2327" max="2331" width="9.140625" style="110"/>
    <col min="2332" max="2332" width="24.28515625" style="110" customWidth="1"/>
    <col min="2333" max="2333" width="9.140625" style="110"/>
    <col min="2334" max="2335" width="13" style="110" customWidth="1"/>
    <col min="2336" max="2336" width="9.140625" style="110"/>
    <col min="2337" max="2337" width="11.140625" style="110" customWidth="1"/>
    <col min="2338" max="2560" width="9.140625" style="110"/>
    <col min="2561" max="2561" width="30.28515625" style="110" customWidth="1"/>
    <col min="2562" max="2562" width="12.7109375" style="110" customWidth="1"/>
    <col min="2563" max="2563" width="11.5703125" style="110" customWidth="1"/>
    <col min="2564" max="2564" width="12.85546875" style="110" customWidth="1"/>
    <col min="2565" max="2565" width="11.28515625" style="110" bestFit="1" customWidth="1"/>
    <col min="2566" max="2566" width="13.28515625" style="110" customWidth="1"/>
    <col min="2567" max="2567" width="20.42578125" style="110" customWidth="1"/>
    <col min="2568" max="2568" width="15.7109375" style="110" customWidth="1"/>
    <col min="2569" max="2569" width="14.140625" style="110" customWidth="1"/>
    <col min="2570" max="2570" width="18.28515625" style="110" customWidth="1"/>
    <col min="2571" max="2571" width="11" style="110" customWidth="1"/>
    <col min="2572" max="2572" width="12.42578125" style="110" customWidth="1"/>
    <col min="2573" max="2573" width="14.7109375" style="110" customWidth="1"/>
    <col min="2574" max="2574" width="19.5703125" style="110" customWidth="1"/>
    <col min="2575" max="2575" width="14.42578125" style="110" customWidth="1"/>
    <col min="2576" max="2576" width="9.140625" style="110"/>
    <col min="2577" max="2577" width="12.85546875" style="110" customWidth="1"/>
    <col min="2578" max="2578" width="9.140625" style="110"/>
    <col min="2579" max="2579" width="14.28515625" style="110" customWidth="1"/>
    <col min="2580" max="2581" width="9.140625" style="110"/>
    <col min="2582" max="2582" width="13.7109375" style="110" customWidth="1"/>
    <col min="2583" max="2587" width="9.140625" style="110"/>
    <col min="2588" max="2588" width="24.28515625" style="110" customWidth="1"/>
    <col min="2589" max="2589" width="9.140625" style="110"/>
    <col min="2590" max="2591" width="13" style="110" customWidth="1"/>
    <col min="2592" max="2592" width="9.140625" style="110"/>
    <col min="2593" max="2593" width="11.140625" style="110" customWidth="1"/>
    <col min="2594" max="2816" width="9.140625" style="110"/>
    <col min="2817" max="2817" width="30.28515625" style="110" customWidth="1"/>
    <col min="2818" max="2818" width="12.7109375" style="110" customWidth="1"/>
    <col min="2819" max="2819" width="11.5703125" style="110" customWidth="1"/>
    <col min="2820" max="2820" width="12.85546875" style="110" customWidth="1"/>
    <col min="2821" max="2821" width="11.28515625" style="110" bestFit="1" customWidth="1"/>
    <col min="2822" max="2822" width="13.28515625" style="110" customWidth="1"/>
    <col min="2823" max="2823" width="20.42578125" style="110" customWidth="1"/>
    <col min="2824" max="2824" width="15.7109375" style="110" customWidth="1"/>
    <col min="2825" max="2825" width="14.140625" style="110" customWidth="1"/>
    <col min="2826" max="2826" width="18.28515625" style="110" customWidth="1"/>
    <col min="2827" max="2827" width="11" style="110" customWidth="1"/>
    <col min="2828" max="2828" width="12.42578125" style="110" customWidth="1"/>
    <col min="2829" max="2829" width="14.7109375" style="110" customWidth="1"/>
    <col min="2830" max="2830" width="19.5703125" style="110" customWidth="1"/>
    <col min="2831" max="2831" width="14.42578125" style="110" customWidth="1"/>
    <col min="2832" max="2832" width="9.140625" style="110"/>
    <col min="2833" max="2833" width="12.85546875" style="110" customWidth="1"/>
    <col min="2834" max="2834" width="9.140625" style="110"/>
    <col min="2835" max="2835" width="14.28515625" style="110" customWidth="1"/>
    <col min="2836" max="2837" width="9.140625" style="110"/>
    <col min="2838" max="2838" width="13.7109375" style="110" customWidth="1"/>
    <col min="2839" max="2843" width="9.140625" style="110"/>
    <col min="2844" max="2844" width="24.28515625" style="110" customWidth="1"/>
    <col min="2845" max="2845" width="9.140625" style="110"/>
    <col min="2846" max="2847" width="13" style="110" customWidth="1"/>
    <col min="2848" max="2848" width="9.140625" style="110"/>
    <col min="2849" max="2849" width="11.140625" style="110" customWidth="1"/>
    <col min="2850" max="3072" width="9.140625" style="110"/>
    <col min="3073" max="3073" width="30.28515625" style="110" customWidth="1"/>
    <col min="3074" max="3074" width="12.7109375" style="110" customWidth="1"/>
    <col min="3075" max="3075" width="11.5703125" style="110" customWidth="1"/>
    <col min="3076" max="3076" width="12.85546875" style="110" customWidth="1"/>
    <col min="3077" max="3077" width="11.28515625" style="110" bestFit="1" customWidth="1"/>
    <col min="3078" max="3078" width="13.28515625" style="110" customWidth="1"/>
    <col min="3079" max="3079" width="20.42578125" style="110" customWidth="1"/>
    <col min="3080" max="3080" width="15.7109375" style="110" customWidth="1"/>
    <col min="3081" max="3081" width="14.140625" style="110" customWidth="1"/>
    <col min="3082" max="3082" width="18.28515625" style="110" customWidth="1"/>
    <col min="3083" max="3083" width="11" style="110" customWidth="1"/>
    <col min="3084" max="3084" width="12.42578125" style="110" customWidth="1"/>
    <col min="3085" max="3085" width="14.7109375" style="110" customWidth="1"/>
    <col min="3086" max="3086" width="19.5703125" style="110" customWidth="1"/>
    <col min="3087" max="3087" width="14.42578125" style="110" customWidth="1"/>
    <col min="3088" max="3088" width="9.140625" style="110"/>
    <col min="3089" max="3089" width="12.85546875" style="110" customWidth="1"/>
    <col min="3090" max="3090" width="9.140625" style="110"/>
    <col min="3091" max="3091" width="14.28515625" style="110" customWidth="1"/>
    <col min="3092" max="3093" width="9.140625" style="110"/>
    <col min="3094" max="3094" width="13.7109375" style="110" customWidth="1"/>
    <col min="3095" max="3099" width="9.140625" style="110"/>
    <col min="3100" max="3100" width="24.28515625" style="110" customWidth="1"/>
    <col min="3101" max="3101" width="9.140625" style="110"/>
    <col min="3102" max="3103" width="13" style="110" customWidth="1"/>
    <col min="3104" max="3104" width="9.140625" style="110"/>
    <col min="3105" max="3105" width="11.140625" style="110" customWidth="1"/>
    <col min="3106" max="3328" width="9.140625" style="110"/>
    <col min="3329" max="3329" width="30.28515625" style="110" customWidth="1"/>
    <col min="3330" max="3330" width="12.7109375" style="110" customWidth="1"/>
    <col min="3331" max="3331" width="11.5703125" style="110" customWidth="1"/>
    <col min="3332" max="3332" width="12.85546875" style="110" customWidth="1"/>
    <col min="3333" max="3333" width="11.28515625" style="110" bestFit="1" customWidth="1"/>
    <col min="3334" max="3334" width="13.28515625" style="110" customWidth="1"/>
    <col min="3335" max="3335" width="20.42578125" style="110" customWidth="1"/>
    <col min="3336" max="3336" width="15.7109375" style="110" customWidth="1"/>
    <col min="3337" max="3337" width="14.140625" style="110" customWidth="1"/>
    <col min="3338" max="3338" width="18.28515625" style="110" customWidth="1"/>
    <col min="3339" max="3339" width="11" style="110" customWidth="1"/>
    <col min="3340" max="3340" width="12.42578125" style="110" customWidth="1"/>
    <col min="3341" max="3341" width="14.7109375" style="110" customWidth="1"/>
    <col min="3342" max="3342" width="19.5703125" style="110" customWidth="1"/>
    <col min="3343" max="3343" width="14.42578125" style="110" customWidth="1"/>
    <col min="3344" max="3344" width="9.140625" style="110"/>
    <col min="3345" max="3345" width="12.85546875" style="110" customWidth="1"/>
    <col min="3346" max="3346" width="9.140625" style="110"/>
    <col min="3347" max="3347" width="14.28515625" style="110" customWidth="1"/>
    <col min="3348" max="3349" width="9.140625" style="110"/>
    <col min="3350" max="3350" width="13.7109375" style="110" customWidth="1"/>
    <col min="3351" max="3355" width="9.140625" style="110"/>
    <col min="3356" max="3356" width="24.28515625" style="110" customWidth="1"/>
    <col min="3357" max="3357" width="9.140625" style="110"/>
    <col min="3358" max="3359" width="13" style="110" customWidth="1"/>
    <col min="3360" max="3360" width="9.140625" style="110"/>
    <col min="3361" max="3361" width="11.140625" style="110" customWidth="1"/>
    <col min="3362" max="3584" width="9.140625" style="110"/>
    <col min="3585" max="3585" width="30.28515625" style="110" customWidth="1"/>
    <col min="3586" max="3586" width="12.7109375" style="110" customWidth="1"/>
    <col min="3587" max="3587" width="11.5703125" style="110" customWidth="1"/>
    <col min="3588" max="3588" width="12.85546875" style="110" customWidth="1"/>
    <col min="3589" max="3589" width="11.28515625" style="110" bestFit="1" customWidth="1"/>
    <col min="3590" max="3590" width="13.28515625" style="110" customWidth="1"/>
    <col min="3591" max="3591" width="20.42578125" style="110" customWidth="1"/>
    <col min="3592" max="3592" width="15.7109375" style="110" customWidth="1"/>
    <col min="3593" max="3593" width="14.140625" style="110" customWidth="1"/>
    <col min="3594" max="3594" width="18.28515625" style="110" customWidth="1"/>
    <col min="3595" max="3595" width="11" style="110" customWidth="1"/>
    <col min="3596" max="3596" width="12.42578125" style="110" customWidth="1"/>
    <col min="3597" max="3597" width="14.7109375" style="110" customWidth="1"/>
    <col min="3598" max="3598" width="19.5703125" style="110" customWidth="1"/>
    <col min="3599" max="3599" width="14.42578125" style="110" customWidth="1"/>
    <col min="3600" max="3600" width="9.140625" style="110"/>
    <col min="3601" max="3601" width="12.85546875" style="110" customWidth="1"/>
    <col min="3602" max="3602" width="9.140625" style="110"/>
    <col min="3603" max="3603" width="14.28515625" style="110" customWidth="1"/>
    <col min="3604" max="3605" width="9.140625" style="110"/>
    <col min="3606" max="3606" width="13.7109375" style="110" customWidth="1"/>
    <col min="3607" max="3611" width="9.140625" style="110"/>
    <col min="3612" max="3612" width="24.28515625" style="110" customWidth="1"/>
    <col min="3613" max="3613" width="9.140625" style="110"/>
    <col min="3614" max="3615" width="13" style="110" customWidth="1"/>
    <col min="3616" max="3616" width="9.140625" style="110"/>
    <col min="3617" max="3617" width="11.140625" style="110" customWidth="1"/>
    <col min="3618" max="3840" width="9.140625" style="110"/>
    <col min="3841" max="3841" width="30.28515625" style="110" customWidth="1"/>
    <col min="3842" max="3842" width="12.7109375" style="110" customWidth="1"/>
    <col min="3843" max="3843" width="11.5703125" style="110" customWidth="1"/>
    <col min="3844" max="3844" width="12.85546875" style="110" customWidth="1"/>
    <col min="3845" max="3845" width="11.28515625" style="110" bestFit="1" customWidth="1"/>
    <col min="3846" max="3846" width="13.28515625" style="110" customWidth="1"/>
    <col min="3847" max="3847" width="20.42578125" style="110" customWidth="1"/>
    <col min="3848" max="3848" width="15.7109375" style="110" customWidth="1"/>
    <col min="3849" max="3849" width="14.140625" style="110" customWidth="1"/>
    <col min="3850" max="3850" width="18.28515625" style="110" customWidth="1"/>
    <col min="3851" max="3851" width="11" style="110" customWidth="1"/>
    <col min="3852" max="3852" width="12.42578125" style="110" customWidth="1"/>
    <col min="3853" max="3853" width="14.7109375" style="110" customWidth="1"/>
    <col min="3854" max="3854" width="19.5703125" style="110" customWidth="1"/>
    <col min="3855" max="3855" width="14.42578125" style="110" customWidth="1"/>
    <col min="3856" max="3856" width="9.140625" style="110"/>
    <col min="3857" max="3857" width="12.85546875" style="110" customWidth="1"/>
    <col min="3858" max="3858" width="9.140625" style="110"/>
    <col min="3859" max="3859" width="14.28515625" style="110" customWidth="1"/>
    <col min="3860" max="3861" width="9.140625" style="110"/>
    <col min="3862" max="3862" width="13.7109375" style="110" customWidth="1"/>
    <col min="3863" max="3867" width="9.140625" style="110"/>
    <col min="3868" max="3868" width="24.28515625" style="110" customWidth="1"/>
    <col min="3869" max="3869" width="9.140625" style="110"/>
    <col min="3870" max="3871" width="13" style="110" customWidth="1"/>
    <col min="3872" max="3872" width="9.140625" style="110"/>
    <col min="3873" max="3873" width="11.140625" style="110" customWidth="1"/>
    <col min="3874" max="4096" width="9.140625" style="110"/>
    <col min="4097" max="4097" width="30.28515625" style="110" customWidth="1"/>
    <col min="4098" max="4098" width="12.7109375" style="110" customWidth="1"/>
    <col min="4099" max="4099" width="11.5703125" style="110" customWidth="1"/>
    <col min="4100" max="4100" width="12.85546875" style="110" customWidth="1"/>
    <col min="4101" max="4101" width="11.28515625" style="110" bestFit="1" customWidth="1"/>
    <col min="4102" max="4102" width="13.28515625" style="110" customWidth="1"/>
    <col min="4103" max="4103" width="20.42578125" style="110" customWidth="1"/>
    <col min="4104" max="4104" width="15.7109375" style="110" customWidth="1"/>
    <col min="4105" max="4105" width="14.140625" style="110" customWidth="1"/>
    <col min="4106" max="4106" width="18.28515625" style="110" customWidth="1"/>
    <col min="4107" max="4107" width="11" style="110" customWidth="1"/>
    <col min="4108" max="4108" width="12.42578125" style="110" customWidth="1"/>
    <col min="4109" max="4109" width="14.7109375" style="110" customWidth="1"/>
    <col min="4110" max="4110" width="19.5703125" style="110" customWidth="1"/>
    <col min="4111" max="4111" width="14.42578125" style="110" customWidth="1"/>
    <col min="4112" max="4112" width="9.140625" style="110"/>
    <col min="4113" max="4113" width="12.85546875" style="110" customWidth="1"/>
    <col min="4114" max="4114" width="9.140625" style="110"/>
    <col min="4115" max="4115" width="14.28515625" style="110" customWidth="1"/>
    <col min="4116" max="4117" width="9.140625" style="110"/>
    <col min="4118" max="4118" width="13.7109375" style="110" customWidth="1"/>
    <col min="4119" max="4123" width="9.140625" style="110"/>
    <col min="4124" max="4124" width="24.28515625" style="110" customWidth="1"/>
    <col min="4125" max="4125" width="9.140625" style="110"/>
    <col min="4126" max="4127" width="13" style="110" customWidth="1"/>
    <col min="4128" max="4128" width="9.140625" style="110"/>
    <col min="4129" max="4129" width="11.140625" style="110" customWidth="1"/>
    <col min="4130" max="4352" width="9.140625" style="110"/>
    <col min="4353" max="4353" width="30.28515625" style="110" customWidth="1"/>
    <col min="4354" max="4354" width="12.7109375" style="110" customWidth="1"/>
    <col min="4355" max="4355" width="11.5703125" style="110" customWidth="1"/>
    <col min="4356" max="4356" width="12.85546875" style="110" customWidth="1"/>
    <col min="4357" max="4357" width="11.28515625" style="110" bestFit="1" customWidth="1"/>
    <col min="4358" max="4358" width="13.28515625" style="110" customWidth="1"/>
    <col min="4359" max="4359" width="20.42578125" style="110" customWidth="1"/>
    <col min="4360" max="4360" width="15.7109375" style="110" customWidth="1"/>
    <col min="4361" max="4361" width="14.140625" style="110" customWidth="1"/>
    <col min="4362" max="4362" width="18.28515625" style="110" customWidth="1"/>
    <col min="4363" max="4363" width="11" style="110" customWidth="1"/>
    <col min="4364" max="4364" width="12.42578125" style="110" customWidth="1"/>
    <col min="4365" max="4365" width="14.7109375" style="110" customWidth="1"/>
    <col min="4366" max="4366" width="19.5703125" style="110" customWidth="1"/>
    <col min="4367" max="4367" width="14.42578125" style="110" customWidth="1"/>
    <col min="4368" max="4368" width="9.140625" style="110"/>
    <col min="4369" max="4369" width="12.85546875" style="110" customWidth="1"/>
    <col min="4370" max="4370" width="9.140625" style="110"/>
    <col min="4371" max="4371" width="14.28515625" style="110" customWidth="1"/>
    <col min="4372" max="4373" width="9.140625" style="110"/>
    <col min="4374" max="4374" width="13.7109375" style="110" customWidth="1"/>
    <col min="4375" max="4379" width="9.140625" style="110"/>
    <col min="4380" max="4380" width="24.28515625" style="110" customWidth="1"/>
    <col min="4381" max="4381" width="9.140625" style="110"/>
    <col min="4382" max="4383" width="13" style="110" customWidth="1"/>
    <col min="4384" max="4384" width="9.140625" style="110"/>
    <col min="4385" max="4385" width="11.140625" style="110" customWidth="1"/>
    <col min="4386" max="4608" width="9.140625" style="110"/>
    <col min="4609" max="4609" width="30.28515625" style="110" customWidth="1"/>
    <col min="4610" max="4610" width="12.7109375" style="110" customWidth="1"/>
    <col min="4611" max="4611" width="11.5703125" style="110" customWidth="1"/>
    <col min="4612" max="4612" width="12.85546875" style="110" customWidth="1"/>
    <col min="4613" max="4613" width="11.28515625" style="110" bestFit="1" customWidth="1"/>
    <col min="4614" max="4614" width="13.28515625" style="110" customWidth="1"/>
    <col min="4615" max="4615" width="20.42578125" style="110" customWidth="1"/>
    <col min="4616" max="4616" width="15.7109375" style="110" customWidth="1"/>
    <col min="4617" max="4617" width="14.140625" style="110" customWidth="1"/>
    <col min="4618" max="4618" width="18.28515625" style="110" customWidth="1"/>
    <col min="4619" max="4619" width="11" style="110" customWidth="1"/>
    <col min="4620" max="4620" width="12.42578125" style="110" customWidth="1"/>
    <col min="4621" max="4621" width="14.7109375" style="110" customWidth="1"/>
    <col min="4622" max="4622" width="19.5703125" style="110" customWidth="1"/>
    <col min="4623" max="4623" width="14.42578125" style="110" customWidth="1"/>
    <col min="4624" max="4624" width="9.140625" style="110"/>
    <col min="4625" max="4625" width="12.85546875" style="110" customWidth="1"/>
    <col min="4626" max="4626" width="9.140625" style="110"/>
    <col min="4627" max="4627" width="14.28515625" style="110" customWidth="1"/>
    <col min="4628" max="4629" width="9.140625" style="110"/>
    <col min="4630" max="4630" width="13.7109375" style="110" customWidth="1"/>
    <col min="4631" max="4635" width="9.140625" style="110"/>
    <col min="4636" max="4636" width="24.28515625" style="110" customWidth="1"/>
    <col min="4637" max="4637" width="9.140625" style="110"/>
    <col min="4638" max="4639" width="13" style="110" customWidth="1"/>
    <col min="4640" max="4640" width="9.140625" style="110"/>
    <col min="4641" max="4641" width="11.140625" style="110" customWidth="1"/>
    <col min="4642" max="4864" width="9.140625" style="110"/>
    <col min="4865" max="4865" width="30.28515625" style="110" customWidth="1"/>
    <col min="4866" max="4866" width="12.7109375" style="110" customWidth="1"/>
    <col min="4867" max="4867" width="11.5703125" style="110" customWidth="1"/>
    <col min="4868" max="4868" width="12.85546875" style="110" customWidth="1"/>
    <col min="4869" max="4869" width="11.28515625" style="110" bestFit="1" customWidth="1"/>
    <col min="4870" max="4870" width="13.28515625" style="110" customWidth="1"/>
    <col min="4871" max="4871" width="20.42578125" style="110" customWidth="1"/>
    <col min="4872" max="4872" width="15.7109375" style="110" customWidth="1"/>
    <col min="4873" max="4873" width="14.140625" style="110" customWidth="1"/>
    <col min="4874" max="4874" width="18.28515625" style="110" customWidth="1"/>
    <col min="4875" max="4875" width="11" style="110" customWidth="1"/>
    <col min="4876" max="4876" width="12.42578125" style="110" customWidth="1"/>
    <col min="4877" max="4877" width="14.7109375" style="110" customWidth="1"/>
    <col min="4878" max="4878" width="19.5703125" style="110" customWidth="1"/>
    <col min="4879" max="4879" width="14.42578125" style="110" customWidth="1"/>
    <col min="4880" max="4880" width="9.140625" style="110"/>
    <col min="4881" max="4881" width="12.85546875" style="110" customWidth="1"/>
    <col min="4882" max="4882" width="9.140625" style="110"/>
    <col min="4883" max="4883" width="14.28515625" style="110" customWidth="1"/>
    <col min="4884" max="4885" width="9.140625" style="110"/>
    <col min="4886" max="4886" width="13.7109375" style="110" customWidth="1"/>
    <col min="4887" max="4891" width="9.140625" style="110"/>
    <col min="4892" max="4892" width="24.28515625" style="110" customWidth="1"/>
    <col min="4893" max="4893" width="9.140625" style="110"/>
    <col min="4894" max="4895" width="13" style="110" customWidth="1"/>
    <col min="4896" max="4896" width="9.140625" style="110"/>
    <col min="4897" max="4897" width="11.140625" style="110" customWidth="1"/>
    <col min="4898" max="5120" width="9.140625" style="110"/>
    <col min="5121" max="5121" width="30.28515625" style="110" customWidth="1"/>
    <col min="5122" max="5122" width="12.7109375" style="110" customWidth="1"/>
    <col min="5123" max="5123" width="11.5703125" style="110" customWidth="1"/>
    <col min="5124" max="5124" width="12.85546875" style="110" customWidth="1"/>
    <col min="5125" max="5125" width="11.28515625" style="110" bestFit="1" customWidth="1"/>
    <col min="5126" max="5126" width="13.28515625" style="110" customWidth="1"/>
    <col min="5127" max="5127" width="20.42578125" style="110" customWidth="1"/>
    <col min="5128" max="5128" width="15.7109375" style="110" customWidth="1"/>
    <col min="5129" max="5129" width="14.140625" style="110" customWidth="1"/>
    <col min="5130" max="5130" width="18.28515625" style="110" customWidth="1"/>
    <col min="5131" max="5131" width="11" style="110" customWidth="1"/>
    <col min="5132" max="5132" width="12.42578125" style="110" customWidth="1"/>
    <col min="5133" max="5133" width="14.7109375" style="110" customWidth="1"/>
    <col min="5134" max="5134" width="19.5703125" style="110" customWidth="1"/>
    <col min="5135" max="5135" width="14.42578125" style="110" customWidth="1"/>
    <col min="5136" max="5136" width="9.140625" style="110"/>
    <col min="5137" max="5137" width="12.85546875" style="110" customWidth="1"/>
    <col min="5138" max="5138" width="9.140625" style="110"/>
    <col min="5139" max="5139" width="14.28515625" style="110" customWidth="1"/>
    <col min="5140" max="5141" width="9.140625" style="110"/>
    <col min="5142" max="5142" width="13.7109375" style="110" customWidth="1"/>
    <col min="5143" max="5147" width="9.140625" style="110"/>
    <col min="5148" max="5148" width="24.28515625" style="110" customWidth="1"/>
    <col min="5149" max="5149" width="9.140625" style="110"/>
    <col min="5150" max="5151" width="13" style="110" customWidth="1"/>
    <col min="5152" max="5152" width="9.140625" style="110"/>
    <col min="5153" max="5153" width="11.140625" style="110" customWidth="1"/>
    <col min="5154" max="5376" width="9.140625" style="110"/>
    <col min="5377" max="5377" width="30.28515625" style="110" customWidth="1"/>
    <col min="5378" max="5378" width="12.7109375" style="110" customWidth="1"/>
    <col min="5379" max="5379" width="11.5703125" style="110" customWidth="1"/>
    <col min="5380" max="5380" width="12.85546875" style="110" customWidth="1"/>
    <col min="5381" max="5381" width="11.28515625" style="110" bestFit="1" customWidth="1"/>
    <col min="5382" max="5382" width="13.28515625" style="110" customWidth="1"/>
    <col min="5383" max="5383" width="20.42578125" style="110" customWidth="1"/>
    <col min="5384" max="5384" width="15.7109375" style="110" customWidth="1"/>
    <col min="5385" max="5385" width="14.140625" style="110" customWidth="1"/>
    <col min="5386" max="5386" width="18.28515625" style="110" customWidth="1"/>
    <col min="5387" max="5387" width="11" style="110" customWidth="1"/>
    <col min="5388" max="5388" width="12.42578125" style="110" customWidth="1"/>
    <col min="5389" max="5389" width="14.7109375" style="110" customWidth="1"/>
    <col min="5390" max="5390" width="19.5703125" style="110" customWidth="1"/>
    <col min="5391" max="5391" width="14.42578125" style="110" customWidth="1"/>
    <col min="5392" max="5392" width="9.140625" style="110"/>
    <col min="5393" max="5393" width="12.85546875" style="110" customWidth="1"/>
    <col min="5394" max="5394" width="9.140625" style="110"/>
    <col min="5395" max="5395" width="14.28515625" style="110" customWidth="1"/>
    <col min="5396" max="5397" width="9.140625" style="110"/>
    <col min="5398" max="5398" width="13.7109375" style="110" customWidth="1"/>
    <col min="5399" max="5403" width="9.140625" style="110"/>
    <col min="5404" max="5404" width="24.28515625" style="110" customWidth="1"/>
    <col min="5405" max="5405" width="9.140625" style="110"/>
    <col min="5406" max="5407" width="13" style="110" customWidth="1"/>
    <col min="5408" max="5408" width="9.140625" style="110"/>
    <col min="5409" max="5409" width="11.140625" style="110" customWidth="1"/>
    <col min="5410" max="5632" width="9.140625" style="110"/>
    <col min="5633" max="5633" width="30.28515625" style="110" customWidth="1"/>
    <col min="5634" max="5634" width="12.7109375" style="110" customWidth="1"/>
    <col min="5635" max="5635" width="11.5703125" style="110" customWidth="1"/>
    <col min="5636" max="5636" width="12.85546875" style="110" customWidth="1"/>
    <col min="5637" max="5637" width="11.28515625" style="110" bestFit="1" customWidth="1"/>
    <col min="5638" max="5638" width="13.28515625" style="110" customWidth="1"/>
    <col min="5639" max="5639" width="20.42578125" style="110" customWidth="1"/>
    <col min="5640" max="5640" width="15.7109375" style="110" customWidth="1"/>
    <col min="5641" max="5641" width="14.140625" style="110" customWidth="1"/>
    <col min="5642" max="5642" width="18.28515625" style="110" customWidth="1"/>
    <col min="5643" max="5643" width="11" style="110" customWidth="1"/>
    <col min="5644" max="5644" width="12.42578125" style="110" customWidth="1"/>
    <col min="5645" max="5645" width="14.7109375" style="110" customWidth="1"/>
    <col min="5646" max="5646" width="19.5703125" style="110" customWidth="1"/>
    <col min="5647" max="5647" width="14.42578125" style="110" customWidth="1"/>
    <col min="5648" max="5648" width="9.140625" style="110"/>
    <col min="5649" max="5649" width="12.85546875" style="110" customWidth="1"/>
    <col min="5650" max="5650" width="9.140625" style="110"/>
    <col min="5651" max="5651" width="14.28515625" style="110" customWidth="1"/>
    <col min="5652" max="5653" width="9.140625" style="110"/>
    <col min="5654" max="5654" width="13.7109375" style="110" customWidth="1"/>
    <col min="5655" max="5659" width="9.140625" style="110"/>
    <col min="5660" max="5660" width="24.28515625" style="110" customWidth="1"/>
    <col min="5661" max="5661" width="9.140625" style="110"/>
    <col min="5662" max="5663" width="13" style="110" customWidth="1"/>
    <col min="5664" max="5664" width="9.140625" style="110"/>
    <col min="5665" max="5665" width="11.140625" style="110" customWidth="1"/>
    <col min="5666" max="5888" width="9.140625" style="110"/>
    <col min="5889" max="5889" width="30.28515625" style="110" customWidth="1"/>
    <col min="5890" max="5890" width="12.7109375" style="110" customWidth="1"/>
    <col min="5891" max="5891" width="11.5703125" style="110" customWidth="1"/>
    <col min="5892" max="5892" width="12.85546875" style="110" customWidth="1"/>
    <col min="5893" max="5893" width="11.28515625" style="110" bestFit="1" customWidth="1"/>
    <col min="5894" max="5894" width="13.28515625" style="110" customWidth="1"/>
    <col min="5895" max="5895" width="20.42578125" style="110" customWidth="1"/>
    <col min="5896" max="5896" width="15.7109375" style="110" customWidth="1"/>
    <col min="5897" max="5897" width="14.140625" style="110" customWidth="1"/>
    <col min="5898" max="5898" width="18.28515625" style="110" customWidth="1"/>
    <col min="5899" max="5899" width="11" style="110" customWidth="1"/>
    <col min="5900" max="5900" width="12.42578125" style="110" customWidth="1"/>
    <col min="5901" max="5901" width="14.7109375" style="110" customWidth="1"/>
    <col min="5902" max="5902" width="19.5703125" style="110" customWidth="1"/>
    <col min="5903" max="5903" width="14.42578125" style="110" customWidth="1"/>
    <col min="5904" max="5904" width="9.140625" style="110"/>
    <col min="5905" max="5905" width="12.85546875" style="110" customWidth="1"/>
    <col min="5906" max="5906" width="9.140625" style="110"/>
    <col min="5907" max="5907" width="14.28515625" style="110" customWidth="1"/>
    <col min="5908" max="5909" width="9.140625" style="110"/>
    <col min="5910" max="5910" width="13.7109375" style="110" customWidth="1"/>
    <col min="5911" max="5915" width="9.140625" style="110"/>
    <col min="5916" max="5916" width="24.28515625" style="110" customWidth="1"/>
    <col min="5917" max="5917" width="9.140625" style="110"/>
    <col min="5918" max="5919" width="13" style="110" customWidth="1"/>
    <col min="5920" max="5920" width="9.140625" style="110"/>
    <col min="5921" max="5921" width="11.140625" style="110" customWidth="1"/>
    <col min="5922" max="6144" width="9.140625" style="110"/>
    <col min="6145" max="6145" width="30.28515625" style="110" customWidth="1"/>
    <col min="6146" max="6146" width="12.7109375" style="110" customWidth="1"/>
    <col min="6147" max="6147" width="11.5703125" style="110" customWidth="1"/>
    <col min="6148" max="6148" width="12.85546875" style="110" customWidth="1"/>
    <col min="6149" max="6149" width="11.28515625" style="110" bestFit="1" customWidth="1"/>
    <col min="6150" max="6150" width="13.28515625" style="110" customWidth="1"/>
    <col min="6151" max="6151" width="20.42578125" style="110" customWidth="1"/>
    <col min="6152" max="6152" width="15.7109375" style="110" customWidth="1"/>
    <col min="6153" max="6153" width="14.140625" style="110" customWidth="1"/>
    <col min="6154" max="6154" width="18.28515625" style="110" customWidth="1"/>
    <col min="6155" max="6155" width="11" style="110" customWidth="1"/>
    <col min="6156" max="6156" width="12.42578125" style="110" customWidth="1"/>
    <col min="6157" max="6157" width="14.7109375" style="110" customWidth="1"/>
    <col min="6158" max="6158" width="19.5703125" style="110" customWidth="1"/>
    <col min="6159" max="6159" width="14.42578125" style="110" customWidth="1"/>
    <col min="6160" max="6160" width="9.140625" style="110"/>
    <col min="6161" max="6161" width="12.85546875" style="110" customWidth="1"/>
    <col min="6162" max="6162" width="9.140625" style="110"/>
    <col min="6163" max="6163" width="14.28515625" style="110" customWidth="1"/>
    <col min="6164" max="6165" width="9.140625" style="110"/>
    <col min="6166" max="6166" width="13.7109375" style="110" customWidth="1"/>
    <col min="6167" max="6171" width="9.140625" style="110"/>
    <col min="6172" max="6172" width="24.28515625" style="110" customWidth="1"/>
    <col min="6173" max="6173" width="9.140625" style="110"/>
    <col min="6174" max="6175" width="13" style="110" customWidth="1"/>
    <col min="6176" max="6176" width="9.140625" style="110"/>
    <col min="6177" max="6177" width="11.140625" style="110" customWidth="1"/>
    <col min="6178" max="6400" width="9.140625" style="110"/>
    <col min="6401" max="6401" width="30.28515625" style="110" customWidth="1"/>
    <col min="6402" max="6402" width="12.7109375" style="110" customWidth="1"/>
    <col min="6403" max="6403" width="11.5703125" style="110" customWidth="1"/>
    <col min="6404" max="6404" width="12.85546875" style="110" customWidth="1"/>
    <col min="6405" max="6405" width="11.28515625" style="110" bestFit="1" customWidth="1"/>
    <col min="6406" max="6406" width="13.28515625" style="110" customWidth="1"/>
    <col min="6407" max="6407" width="20.42578125" style="110" customWidth="1"/>
    <col min="6408" max="6408" width="15.7109375" style="110" customWidth="1"/>
    <col min="6409" max="6409" width="14.140625" style="110" customWidth="1"/>
    <col min="6410" max="6410" width="18.28515625" style="110" customWidth="1"/>
    <col min="6411" max="6411" width="11" style="110" customWidth="1"/>
    <col min="6412" max="6412" width="12.42578125" style="110" customWidth="1"/>
    <col min="6413" max="6413" width="14.7109375" style="110" customWidth="1"/>
    <col min="6414" max="6414" width="19.5703125" style="110" customWidth="1"/>
    <col min="6415" max="6415" width="14.42578125" style="110" customWidth="1"/>
    <col min="6416" max="6416" width="9.140625" style="110"/>
    <col min="6417" max="6417" width="12.85546875" style="110" customWidth="1"/>
    <col min="6418" max="6418" width="9.140625" style="110"/>
    <col min="6419" max="6419" width="14.28515625" style="110" customWidth="1"/>
    <col min="6420" max="6421" width="9.140625" style="110"/>
    <col min="6422" max="6422" width="13.7109375" style="110" customWidth="1"/>
    <col min="6423" max="6427" width="9.140625" style="110"/>
    <col min="6428" max="6428" width="24.28515625" style="110" customWidth="1"/>
    <col min="6429" max="6429" width="9.140625" style="110"/>
    <col min="6430" max="6431" width="13" style="110" customWidth="1"/>
    <col min="6432" max="6432" width="9.140625" style="110"/>
    <col min="6433" max="6433" width="11.140625" style="110" customWidth="1"/>
    <col min="6434" max="6656" width="9.140625" style="110"/>
    <col min="6657" max="6657" width="30.28515625" style="110" customWidth="1"/>
    <col min="6658" max="6658" width="12.7109375" style="110" customWidth="1"/>
    <col min="6659" max="6659" width="11.5703125" style="110" customWidth="1"/>
    <col min="6660" max="6660" width="12.85546875" style="110" customWidth="1"/>
    <col min="6661" max="6661" width="11.28515625" style="110" bestFit="1" customWidth="1"/>
    <col min="6662" max="6662" width="13.28515625" style="110" customWidth="1"/>
    <col min="6663" max="6663" width="20.42578125" style="110" customWidth="1"/>
    <col min="6664" max="6664" width="15.7109375" style="110" customWidth="1"/>
    <col min="6665" max="6665" width="14.140625" style="110" customWidth="1"/>
    <col min="6666" max="6666" width="18.28515625" style="110" customWidth="1"/>
    <col min="6667" max="6667" width="11" style="110" customWidth="1"/>
    <col min="6668" max="6668" width="12.42578125" style="110" customWidth="1"/>
    <col min="6669" max="6669" width="14.7109375" style="110" customWidth="1"/>
    <col min="6670" max="6670" width="19.5703125" style="110" customWidth="1"/>
    <col min="6671" max="6671" width="14.42578125" style="110" customWidth="1"/>
    <col min="6672" max="6672" width="9.140625" style="110"/>
    <col min="6673" max="6673" width="12.85546875" style="110" customWidth="1"/>
    <col min="6674" max="6674" width="9.140625" style="110"/>
    <col min="6675" max="6675" width="14.28515625" style="110" customWidth="1"/>
    <col min="6676" max="6677" width="9.140625" style="110"/>
    <col min="6678" max="6678" width="13.7109375" style="110" customWidth="1"/>
    <col min="6679" max="6683" width="9.140625" style="110"/>
    <col min="6684" max="6684" width="24.28515625" style="110" customWidth="1"/>
    <col min="6685" max="6685" width="9.140625" style="110"/>
    <col min="6686" max="6687" width="13" style="110" customWidth="1"/>
    <col min="6688" max="6688" width="9.140625" style="110"/>
    <col min="6689" max="6689" width="11.140625" style="110" customWidth="1"/>
    <col min="6690" max="6912" width="9.140625" style="110"/>
    <col min="6913" max="6913" width="30.28515625" style="110" customWidth="1"/>
    <col min="6914" max="6914" width="12.7109375" style="110" customWidth="1"/>
    <col min="6915" max="6915" width="11.5703125" style="110" customWidth="1"/>
    <col min="6916" max="6916" width="12.85546875" style="110" customWidth="1"/>
    <col min="6917" max="6917" width="11.28515625" style="110" bestFit="1" customWidth="1"/>
    <col min="6918" max="6918" width="13.28515625" style="110" customWidth="1"/>
    <col min="6919" max="6919" width="20.42578125" style="110" customWidth="1"/>
    <col min="6920" max="6920" width="15.7109375" style="110" customWidth="1"/>
    <col min="6921" max="6921" width="14.140625" style="110" customWidth="1"/>
    <col min="6922" max="6922" width="18.28515625" style="110" customWidth="1"/>
    <col min="6923" max="6923" width="11" style="110" customWidth="1"/>
    <col min="6924" max="6924" width="12.42578125" style="110" customWidth="1"/>
    <col min="6925" max="6925" width="14.7109375" style="110" customWidth="1"/>
    <col min="6926" max="6926" width="19.5703125" style="110" customWidth="1"/>
    <col min="6927" max="6927" width="14.42578125" style="110" customWidth="1"/>
    <col min="6928" max="6928" width="9.140625" style="110"/>
    <col min="6929" max="6929" width="12.85546875" style="110" customWidth="1"/>
    <col min="6930" max="6930" width="9.140625" style="110"/>
    <col min="6931" max="6931" width="14.28515625" style="110" customWidth="1"/>
    <col min="6932" max="6933" width="9.140625" style="110"/>
    <col min="6934" max="6934" width="13.7109375" style="110" customWidth="1"/>
    <col min="6935" max="6939" width="9.140625" style="110"/>
    <col min="6940" max="6940" width="24.28515625" style="110" customWidth="1"/>
    <col min="6941" max="6941" width="9.140625" style="110"/>
    <col min="6942" max="6943" width="13" style="110" customWidth="1"/>
    <col min="6944" max="6944" width="9.140625" style="110"/>
    <col min="6945" max="6945" width="11.140625" style="110" customWidth="1"/>
    <col min="6946" max="7168" width="9.140625" style="110"/>
    <col min="7169" max="7169" width="30.28515625" style="110" customWidth="1"/>
    <col min="7170" max="7170" width="12.7109375" style="110" customWidth="1"/>
    <col min="7171" max="7171" width="11.5703125" style="110" customWidth="1"/>
    <col min="7172" max="7172" width="12.85546875" style="110" customWidth="1"/>
    <col min="7173" max="7173" width="11.28515625" style="110" bestFit="1" customWidth="1"/>
    <col min="7174" max="7174" width="13.28515625" style="110" customWidth="1"/>
    <col min="7175" max="7175" width="20.42578125" style="110" customWidth="1"/>
    <col min="7176" max="7176" width="15.7109375" style="110" customWidth="1"/>
    <col min="7177" max="7177" width="14.140625" style="110" customWidth="1"/>
    <col min="7178" max="7178" width="18.28515625" style="110" customWidth="1"/>
    <col min="7179" max="7179" width="11" style="110" customWidth="1"/>
    <col min="7180" max="7180" width="12.42578125" style="110" customWidth="1"/>
    <col min="7181" max="7181" width="14.7109375" style="110" customWidth="1"/>
    <col min="7182" max="7182" width="19.5703125" style="110" customWidth="1"/>
    <col min="7183" max="7183" width="14.42578125" style="110" customWidth="1"/>
    <col min="7184" max="7184" width="9.140625" style="110"/>
    <col min="7185" max="7185" width="12.85546875" style="110" customWidth="1"/>
    <col min="7186" max="7186" width="9.140625" style="110"/>
    <col min="7187" max="7187" width="14.28515625" style="110" customWidth="1"/>
    <col min="7188" max="7189" width="9.140625" style="110"/>
    <col min="7190" max="7190" width="13.7109375" style="110" customWidth="1"/>
    <col min="7191" max="7195" width="9.140625" style="110"/>
    <col min="7196" max="7196" width="24.28515625" style="110" customWidth="1"/>
    <col min="7197" max="7197" width="9.140625" style="110"/>
    <col min="7198" max="7199" width="13" style="110" customWidth="1"/>
    <col min="7200" max="7200" width="9.140625" style="110"/>
    <col min="7201" max="7201" width="11.140625" style="110" customWidth="1"/>
    <col min="7202" max="7424" width="9.140625" style="110"/>
    <col min="7425" max="7425" width="30.28515625" style="110" customWidth="1"/>
    <col min="7426" max="7426" width="12.7109375" style="110" customWidth="1"/>
    <col min="7427" max="7427" width="11.5703125" style="110" customWidth="1"/>
    <col min="7428" max="7428" width="12.85546875" style="110" customWidth="1"/>
    <col min="7429" max="7429" width="11.28515625" style="110" bestFit="1" customWidth="1"/>
    <col min="7430" max="7430" width="13.28515625" style="110" customWidth="1"/>
    <col min="7431" max="7431" width="20.42578125" style="110" customWidth="1"/>
    <col min="7432" max="7432" width="15.7109375" style="110" customWidth="1"/>
    <col min="7433" max="7433" width="14.140625" style="110" customWidth="1"/>
    <col min="7434" max="7434" width="18.28515625" style="110" customWidth="1"/>
    <col min="7435" max="7435" width="11" style="110" customWidth="1"/>
    <col min="7436" max="7436" width="12.42578125" style="110" customWidth="1"/>
    <col min="7437" max="7437" width="14.7109375" style="110" customWidth="1"/>
    <col min="7438" max="7438" width="19.5703125" style="110" customWidth="1"/>
    <col min="7439" max="7439" width="14.42578125" style="110" customWidth="1"/>
    <col min="7440" max="7440" width="9.140625" style="110"/>
    <col min="7441" max="7441" width="12.85546875" style="110" customWidth="1"/>
    <col min="7442" max="7442" width="9.140625" style="110"/>
    <col min="7443" max="7443" width="14.28515625" style="110" customWidth="1"/>
    <col min="7444" max="7445" width="9.140625" style="110"/>
    <col min="7446" max="7446" width="13.7109375" style="110" customWidth="1"/>
    <col min="7447" max="7451" width="9.140625" style="110"/>
    <col min="7452" max="7452" width="24.28515625" style="110" customWidth="1"/>
    <col min="7453" max="7453" width="9.140625" style="110"/>
    <col min="7454" max="7455" width="13" style="110" customWidth="1"/>
    <col min="7456" max="7456" width="9.140625" style="110"/>
    <col min="7457" max="7457" width="11.140625" style="110" customWidth="1"/>
    <col min="7458" max="7680" width="9.140625" style="110"/>
    <col min="7681" max="7681" width="30.28515625" style="110" customWidth="1"/>
    <col min="7682" max="7682" width="12.7109375" style="110" customWidth="1"/>
    <col min="7683" max="7683" width="11.5703125" style="110" customWidth="1"/>
    <col min="7684" max="7684" width="12.85546875" style="110" customWidth="1"/>
    <col min="7685" max="7685" width="11.28515625" style="110" bestFit="1" customWidth="1"/>
    <col min="7686" max="7686" width="13.28515625" style="110" customWidth="1"/>
    <col min="7687" max="7687" width="20.42578125" style="110" customWidth="1"/>
    <col min="7688" max="7688" width="15.7109375" style="110" customWidth="1"/>
    <col min="7689" max="7689" width="14.140625" style="110" customWidth="1"/>
    <col min="7690" max="7690" width="18.28515625" style="110" customWidth="1"/>
    <col min="7691" max="7691" width="11" style="110" customWidth="1"/>
    <col min="7692" max="7692" width="12.42578125" style="110" customWidth="1"/>
    <col min="7693" max="7693" width="14.7109375" style="110" customWidth="1"/>
    <col min="7694" max="7694" width="19.5703125" style="110" customWidth="1"/>
    <col min="7695" max="7695" width="14.42578125" style="110" customWidth="1"/>
    <col min="7696" max="7696" width="9.140625" style="110"/>
    <col min="7697" max="7697" width="12.85546875" style="110" customWidth="1"/>
    <col min="7698" max="7698" width="9.140625" style="110"/>
    <col min="7699" max="7699" width="14.28515625" style="110" customWidth="1"/>
    <col min="7700" max="7701" width="9.140625" style="110"/>
    <col min="7702" max="7702" width="13.7109375" style="110" customWidth="1"/>
    <col min="7703" max="7707" width="9.140625" style="110"/>
    <col min="7708" max="7708" width="24.28515625" style="110" customWidth="1"/>
    <col min="7709" max="7709" width="9.140625" style="110"/>
    <col min="7710" max="7711" width="13" style="110" customWidth="1"/>
    <col min="7712" max="7712" width="9.140625" style="110"/>
    <col min="7713" max="7713" width="11.140625" style="110" customWidth="1"/>
    <col min="7714" max="7936" width="9.140625" style="110"/>
    <col min="7937" max="7937" width="30.28515625" style="110" customWidth="1"/>
    <col min="7938" max="7938" width="12.7109375" style="110" customWidth="1"/>
    <col min="7939" max="7939" width="11.5703125" style="110" customWidth="1"/>
    <col min="7940" max="7940" width="12.85546875" style="110" customWidth="1"/>
    <col min="7941" max="7941" width="11.28515625" style="110" bestFit="1" customWidth="1"/>
    <col min="7942" max="7942" width="13.28515625" style="110" customWidth="1"/>
    <col min="7943" max="7943" width="20.42578125" style="110" customWidth="1"/>
    <col min="7944" max="7944" width="15.7109375" style="110" customWidth="1"/>
    <col min="7945" max="7945" width="14.140625" style="110" customWidth="1"/>
    <col min="7946" max="7946" width="18.28515625" style="110" customWidth="1"/>
    <col min="7947" max="7947" width="11" style="110" customWidth="1"/>
    <col min="7948" max="7948" width="12.42578125" style="110" customWidth="1"/>
    <col min="7949" max="7949" width="14.7109375" style="110" customWidth="1"/>
    <col min="7950" max="7950" width="19.5703125" style="110" customWidth="1"/>
    <col min="7951" max="7951" width="14.42578125" style="110" customWidth="1"/>
    <col min="7952" max="7952" width="9.140625" style="110"/>
    <col min="7953" max="7953" width="12.85546875" style="110" customWidth="1"/>
    <col min="7954" max="7954" width="9.140625" style="110"/>
    <col min="7955" max="7955" width="14.28515625" style="110" customWidth="1"/>
    <col min="7956" max="7957" width="9.140625" style="110"/>
    <col min="7958" max="7958" width="13.7109375" style="110" customWidth="1"/>
    <col min="7959" max="7963" width="9.140625" style="110"/>
    <col min="7964" max="7964" width="24.28515625" style="110" customWidth="1"/>
    <col min="7965" max="7965" width="9.140625" style="110"/>
    <col min="7966" max="7967" width="13" style="110" customWidth="1"/>
    <col min="7968" max="7968" width="9.140625" style="110"/>
    <col min="7969" max="7969" width="11.140625" style="110" customWidth="1"/>
    <col min="7970" max="8192" width="9.140625" style="110"/>
    <col min="8193" max="8193" width="30.28515625" style="110" customWidth="1"/>
    <col min="8194" max="8194" width="12.7109375" style="110" customWidth="1"/>
    <col min="8195" max="8195" width="11.5703125" style="110" customWidth="1"/>
    <col min="8196" max="8196" width="12.85546875" style="110" customWidth="1"/>
    <col min="8197" max="8197" width="11.28515625" style="110" bestFit="1" customWidth="1"/>
    <col min="8198" max="8198" width="13.28515625" style="110" customWidth="1"/>
    <col min="8199" max="8199" width="20.42578125" style="110" customWidth="1"/>
    <col min="8200" max="8200" width="15.7109375" style="110" customWidth="1"/>
    <col min="8201" max="8201" width="14.140625" style="110" customWidth="1"/>
    <col min="8202" max="8202" width="18.28515625" style="110" customWidth="1"/>
    <col min="8203" max="8203" width="11" style="110" customWidth="1"/>
    <col min="8204" max="8204" width="12.42578125" style="110" customWidth="1"/>
    <col min="8205" max="8205" width="14.7109375" style="110" customWidth="1"/>
    <col min="8206" max="8206" width="19.5703125" style="110" customWidth="1"/>
    <col min="8207" max="8207" width="14.42578125" style="110" customWidth="1"/>
    <col min="8208" max="8208" width="9.140625" style="110"/>
    <col min="8209" max="8209" width="12.85546875" style="110" customWidth="1"/>
    <col min="8210" max="8210" width="9.140625" style="110"/>
    <col min="8211" max="8211" width="14.28515625" style="110" customWidth="1"/>
    <col min="8212" max="8213" width="9.140625" style="110"/>
    <col min="8214" max="8214" width="13.7109375" style="110" customWidth="1"/>
    <col min="8215" max="8219" width="9.140625" style="110"/>
    <col min="8220" max="8220" width="24.28515625" style="110" customWidth="1"/>
    <col min="8221" max="8221" width="9.140625" style="110"/>
    <col min="8222" max="8223" width="13" style="110" customWidth="1"/>
    <col min="8224" max="8224" width="9.140625" style="110"/>
    <col min="8225" max="8225" width="11.140625" style="110" customWidth="1"/>
    <col min="8226" max="8448" width="9.140625" style="110"/>
    <col min="8449" max="8449" width="30.28515625" style="110" customWidth="1"/>
    <col min="8450" max="8450" width="12.7109375" style="110" customWidth="1"/>
    <col min="8451" max="8451" width="11.5703125" style="110" customWidth="1"/>
    <col min="8452" max="8452" width="12.85546875" style="110" customWidth="1"/>
    <col min="8453" max="8453" width="11.28515625" style="110" bestFit="1" customWidth="1"/>
    <col min="8454" max="8454" width="13.28515625" style="110" customWidth="1"/>
    <col min="8455" max="8455" width="20.42578125" style="110" customWidth="1"/>
    <col min="8456" max="8456" width="15.7109375" style="110" customWidth="1"/>
    <col min="8457" max="8457" width="14.140625" style="110" customWidth="1"/>
    <col min="8458" max="8458" width="18.28515625" style="110" customWidth="1"/>
    <col min="8459" max="8459" width="11" style="110" customWidth="1"/>
    <col min="8460" max="8460" width="12.42578125" style="110" customWidth="1"/>
    <col min="8461" max="8461" width="14.7109375" style="110" customWidth="1"/>
    <col min="8462" max="8462" width="19.5703125" style="110" customWidth="1"/>
    <col min="8463" max="8463" width="14.42578125" style="110" customWidth="1"/>
    <col min="8464" max="8464" width="9.140625" style="110"/>
    <col min="8465" max="8465" width="12.85546875" style="110" customWidth="1"/>
    <col min="8466" max="8466" width="9.140625" style="110"/>
    <col min="8467" max="8467" width="14.28515625" style="110" customWidth="1"/>
    <col min="8468" max="8469" width="9.140625" style="110"/>
    <col min="8470" max="8470" width="13.7109375" style="110" customWidth="1"/>
    <col min="8471" max="8475" width="9.140625" style="110"/>
    <col min="8476" max="8476" width="24.28515625" style="110" customWidth="1"/>
    <col min="8477" max="8477" width="9.140625" style="110"/>
    <col min="8478" max="8479" width="13" style="110" customWidth="1"/>
    <col min="8480" max="8480" width="9.140625" style="110"/>
    <col min="8481" max="8481" width="11.140625" style="110" customWidth="1"/>
    <col min="8482" max="8704" width="9.140625" style="110"/>
    <col min="8705" max="8705" width="30.28515625" style="110" customWidth="1"/>
    <col min="8706" max="8706" width="12.7109375" style="110" customWidth="1"/>
    <col min="8707" max="8707" width="11.5703125" style="110" customWidth="1"/>
    <col min="8708" max="8708" width="12.85546875" style="110" customWidth="1"/>
    <col min="8709" max="8709" width="11.28515625" style="110" bestFit="1" customWidth="1"/>
    <col min="8710" max="8710" width="13.28515625" style="110" customWidth="1"/>
    <col min="8711" max="8711" width="20.42578125" style="110" customWidth="1"/>
    <col min="8712" max="8712" width="15.7109375" style="110" customWidth="1"/>
    <col min="8713" max="8713" width="14.140625" style="110" customWidth="1"/>
    <col min="8714" max="8714" width="18.28515625" style="110" customWidth="1"/>
    <col min="8715" max="8715" width="11" style="110" customWidth="1"/>
    <col min="8716" max="8716" width="12.42578125" style="110" customWidth="1"/>
    <col min="8717" max="8717" width="14.7109375" style="110" customWidth="1"/>
    <col min="8718" max="8718" width="19.5703125" style="110" customWidth="1"/>
    <col min="8719" max="8719" width="14.42578125" style="110" customWidth="1"/>
    <col min="8720" max="8720" width="9.140625" style="110"/>
    <col min="8721" max="8721" width="12.85546875" style="110" customWidth="1"/>
    <col min="8722" max="8722" width="9.140625" style="110"/>
    <col min="8723" max="8723" width="14.28515625" style="110" customWidth="1"/>
    <col min="8724" max="8725" width="9.140625" style="110"/>
    <col min="8726" max="8726" width="13.7109375" style="110" customWidth="1"/>
    <col min="8727" max="8731" width="9.140625" style="110"/>
    <col min="8732" max="8732" width="24.28515625" style="110" customWidth="1"/>
    <col min="8733" max="8733" width="9.140625" style="110"/>
    <col min="8734" max="8735" width="13" style="110" customWidth="1"/>
    <col min="8736" max="8736" width="9.140625" style="110"/>
    <col min="8737" max="8737" width="11.140625" style="110" customWidth="1"/>
    <col min="8738" max="8960" width="9.140625" style="110"/>
    <col min="8961" max="8961" width="30.28515625" style="110" customWidth="1"/>
    <col min="8962" max="8962" width="12.7109375" style="110" customWidth="1"/>
    <col min="8963" max="8963" width="11.5703125" style="110" customWidth="1"/>
    <col min="8964" max="8964" width="12.85546875" style="110" customWidth="1"/>
    <col min="8965" max="8965" width="11.28515625" style="110" bestFit="1" customWidth="1"/>
    <col min="8966" max="8966" width="13.28515625" style="110" customWidth="1"/>
    <col min="8967" max="8967" width="20.42578125" style="110" customWidth="1"/>
    <col min="8968" max="8968" width="15.7109375" style="110" customWidth="1"/>
    <col min="8969" max="8969" width="14.140625" style="110" customWidth="1"/>
    <col min="8970" max="8970" width="18.28515625" style="110" customWidth="1"/>
    <col min="8971" max="8971" width="11" style="110" customWidth="1"/>
    <col min="8972" max="8972" width="12.42578125" style="110" customWidth="1"/>
    <col min="8973" max="8973" width="14.7109375" style="110" customWidth="1"/>
    <col min="8974" max="8974" width="19.5703125" style="110" customWidth="1"/>
    <col min="8975" max="8975" width="14.42578125" style="110" customWidth="1"/>
    <col min="8976" max="8976" width="9.140625" style="110"/>
    <col min="8977" max="8977" width="12.85546875" style="110" customWidth="1"/>
    <col min="8978" max="8978" width="9.140625" style="110"/>
    <col min="8979" max="8979" width="14.28515625" style="110" customWidth="1"/>
    <col min="8980" max="8981" width="9.140625" style="110"/>
    <col min="8982" max="8982" width="13.7109375" style="110" customWidth="1"/>
    <col min="8983" max="8987" width="9.140625" style="110"/>
    <col min="8988" max="8988" width="24.28515625" style="110" customWidth="1"/>
    <col min="8989" max="8989" width="9.140625" style="110"/>
    <col min="8990" max="8991" width="13" style="110" customWidth="1"/>
    <col min="8992" max="8992" width="9.140625" style="110"/>
    <col min="8993" max="8993" width="11.140625" style="110" customWidth="1"/>
    <col min="8994" max="9216" width="9.140625" style="110"/>
    <col min="9217" max="9217" width="30.28515625" style="110" customWidth="1"/>
    <col min="9218" max="9218" width="12.7109375" style="110" customWidth="1"/>
    <col min="9219" max="9219" width="11.5703125" style="110" customWidth="1"/>
    <col min="9220" max="9220" width="12.85546875" style="110" customWidth="1"/>
    <col min="9221" max="9221" width="11.28515625" style="110" bestFit="1" customWidth="1"/>
    <col min="9222" max="9222" width="13.28515625" style="110" customWidth="1"/>
    <col min="9223" max="9223" width="20.42578125" style="110" customWidth="1"/>
    <col min="9224" max="9224" width="15.7109375" style="110" customWidth="1"/>
    <col min="9225" max="9225" width="14.140625" style="110" customWidth="1"/>
    <col min="9226" max="9226" width="18.28515625" style="110" customWidth="1"/>
    <col min="9227" max="9227" width="11" style="110" customWidth="1"/>
    <col min="9228" max="9228" width="12.42578125" style="110" customWidth="1"/>
    <col min="9229" max="9229" width="14.7109375" style="110" customWidth="1"/>
    <col min="9230" max="9230" width="19.5703125" style="110" customWidth="1"/>
    <col min="9231" max="9231" width="14.42578125" style="110" customWidth="1"/>
    <col min="9232" max="9232" width="9.140625" style="110"/>
    <col min="9233" max="9233" width="12.85546875" style="110" customWidth="1"/>
    <col min="9234" max="9234" width="9.140625" style="110"/>
    <col min="9235" max="9235" width="14.28515625" style="110" customWidth="1"/>
    <col min="9236" max="9237" width="9.140625" style="110"/>
    <col min="9238" max="9238" width="13.7109375" style="110" customWidth="1"/>
    <col min="9239" max="9243" width="9.140625" style="110"/>
    <col min="9244" max="9244" width="24.28515625" style="110" customWidth="1"/>
    <col min="9245" max="9245" width="9.140625" style="110"/>
    <col min="9246" max="9247" width="13" style="110" customWidth="1"/>
    <col min="9248" max="9248" width="9.140625" style="110"/>
    <col min="9249" max="9249" width="11.140625" style="110" customWidth="1"/>
    <col min="9250" max="9472" width="9.140625" style="110"/>
    <col min="9473" max="9473" width="30.28515625" style="110" customWidth="1"/>
    <col min="9474" max="9474" width="12.7109375" style="110" customWidth="1"/>
    <col min="9475" max="9475" width="11.5703125" style="110" customWidth="1"/>
    <col min="9476" max="9476" width="12.85546875" style="110" customWidth="1"/>
    <col min="9477" max="9477" width="11.28515625" style="110" bestFit="1" customWidth="1"/>
    <col min="9478" max="9478" width="13.28515625" style="110" customWidth="1"/>
    <col min="9479" max="9479" width="20.42578125" style="110" customWidth="1"/>
    <col min="9480" max="9480" width="15.7109375" style="110" customWidth="1"/>
    <col min="9481" max="9481" width="14.140625" style="110" customWidth="1"/>
    <col min="9482" max="9482" width="18.28515625" style="110" customWidth="1"/>
    <col min="9483" max="9483" width="11" style="110" customWidth="1"/>
    <col min="9484" max="9484" width="12.42578125" style="110" customWidth="1"/>
    <col min="9485" max="9485" width="14.7109375" style="110" customWidth="1"/>
    <col min="9486" max="9486" width="19.5703125" style="110" customWidth="1"/>
    <col min="9487" max="9487" width="14.42578125" style="110" customWidth="1"/>
    <col min="9488" max="9488" width="9.140625" style="110"/>
    <col min="9489" max="9489" width="12.85546875" style="110" customWidth="1"/>
    <col min="9490" max="9490" width="9.140625" style="110"/>
    <col min="9491" max="9491" width="14.28515625" style="110" customWidth="1"/>
    <col min="9492" max="9493" width="9.140625" style="110"/>
    <col min="9494" max="9494" width="13.7109375" style="110" customWidth="1"/>
    <col min="9495" max="9499" width="9.140625" style="110"/>
    <col min="9500" max="9500" width="24.28515625" style="110" customWidth="1"/>
    <col min="9501" max="9501" width="9.140625" style="110"/>
    <col min="9502" max="9503" width="13" style="110" customWidth="1"/>
    <col min="9504" max="9504" width="9.140625" style="110"/>
    <col min="9505" max="9505" width="11.140625" style="110" customWidth="1"/>
    <col min="9506" max="9728" width="9.140625" style="110"/>
    <col min="9729" max="9729" width="30.28515625" style="110" customWidth="1"/>
    <col min="9730" max="9730" width="12.7109375" style="110" customWidth="1"/>
    <col min="9731" max="9731" width="11.5703125" style="110" customWidth="1"/>
    <col min="9732" max="9732" width="12.85546875" style="110" customWidth="1"/>
    <col min="9733" max="9733" width="11.28515625" style="110" bestFit="1" customWidth="1"/>
    <col min="9734" max="9734" width="13.28515625" style="110" customWidth="1"/>
    <col min="9735" max="9735" width="20.42578125" style="110" customWidth="1"/>
    <col min="9736" max="9736" width="15.7109375" style="110" customWidth="1"/>
    <col min="9737" max="9737" width="14.140625" style="110" customWidth="1"/>
    <col min="9738" max="9738" width="18.28515625" style="110" customWidth="1"/>
    <col min="9739" max="9739" width="11" style="110" customWidth="1"/>
    <col min="9740" max="9740" width="12.42578125" style="110" customWidth="1"/>
    <col min="9741" max="9741" width="14.7109375" style="110" customWidth="1"/>
    <col min="9742" max="9742" width="19.5703125" style="110" customWidth="1"/>
    <col min="9743" max="9743" width="14.42578125" style="110" customWidth="1"/>
    <col min="9744" max="9744" width="9.140625" style="110"/>
    <col min="9745" max="9745" width="12.85546875" style="110" customWidth="1"/>
    <col min="9746" max="9746" width="9.140625" style="110"/>
    <col min="9747" max="9747" width="14.28515625" style="110" customWidth="1"/>
    <col min="9748" max="9749" width="9.140625" style="110"/>
    <col min="9750" max="9750" width="13.7109375" style="110" customWidth="1"/>
    <col min="9751" max="9755" width="9.140625" style="110"/>
    <col min="9756" max="9756" width="24.28515625" style="110" customWidth="1"/>
    <col min="9757" max="9757" width="9.140625" style="110"/>
    <col min="9758" max="9759" width="13" style="110" customWidth="1"/>
    <col min="9760" max="9760" width="9.140625" style="110"/>
    <col min="9761" max="9761" width="11.140625" style="110" customWidth="1"/>
    <col min="9762" max="9984" width="9.140625" style="110"/>
    <col min="9985" max="9985" width="30.28515625" style="110" customWidth="1"/>
    <col min="9986" max="9986" width="12.7109375" style="110" customWidth="1"/>
    <col min="9987" max="9987" width="11.5703125" style="110" customWidth="1"/>
    <col min="9988" max="9988" width="12.85546875" style="110" customWidth="1"/>
    <col min="9989" max="9989" width="11.28515625" style="110" bestFit="1" customWidth="1"/>
    <col min="9990" max="9990" width="13.28515625" style="110" customWidth="1"/>
    <col min="9991" max="9991" width="20.42578125" style="110" customWidth="1"/>
    <col min="9992" max="9992" width="15.7109375" style="110" customWidth="1"/>
    <col min="9993" max="9993" width="14.140625" style="110" customWidth="1"/>
    <col min="9994" max="9994" width="18.28515625" style="110" customWidth="1"/>
    <col min="9995" max="9995" width="11" style="110" customWidth="1"/>
    <col min="9996" max="9996" width="12.42578125" style="110" customWidth="1"/>
    <col min="9997" max="9997" width="14.7109375" style="110" customWidth="1"/>
    <col min="9998" max="9998" width="19.5703125" style="110" customWidth="1"/>
    <col min="9999" max="9999" width="14.42578125" style="110" customWidth="1"/>
    <col min="10000" max="10000" width="9.140625" style="110"/>
    <col min="10001" max="10001" width="12.85546875" style="110" customWidth="1"/>
    <col min="10002" max="10002" width="9.140625" style="110"/>
    <col min="10003" max="10003" width="14.28515625" style="110" customWidth="1"/>
    <col min="10004" max="10005" width="9.140625" style="110"/>
    <col min="10006" max="10006" width="13.7109375" style="110" customWidth="1"/>
    <col min="10007" max="10011" width="9.140625" style="110"/>
    <col min="10012" max="10012" width="24.28515625" style="110" customWidth="1"/>
    <col min="10013" max="10013" width="9.140625" style="110"/>
    <col min="10014" max="10015" width="13" style="110" customWidth="1"/>
    <col min="10016" max="10016" width="9.140625" style="110"/>
    <col min="10017" max="10017" width="11.140625" style="110" customWidth="1"/>
    <col min="10018" max="10240" width="9.140625" style="110"/>
    <col min="10241" max="10241" width="30.28515625" style="110" customWidth="1"/>
    <col min="10242" max="10242" width="12.7109375" style="110" customWidth="1"/>
    <col min="10243" max="10243" width="11.5703125" style="110" customWidth="1"/>
    <col min="10244" max="10244" width="12.85546875" style="110" customWidth="1"/>
    <col min="10245" max="10245" width="11.28515625" style="110" bestFit="1" customWidth="1"/>
    <col min="10246" max="10246" width="13.28515625" style="110" customWidth="1"/>
    <col min="10247" max="10247" width="20.42578125" style="110" customWidth="1"/>
    <col min="10248" max="10248" width="15.7109375" style="110" customWidth="1"/>
    <col min="10249" max="10249" width="14.140625" style="110" customWidth="1"/>
    <col min="10250" max="10250" width="18.28515625" style="110" customWidth="1"/>
    <col min="10251" max="10251" width="11" style="110" customWidth="1"/>
    <col min="10252" max="10252" width="12.42578125" style="110" customWidth="1"/>
    <col min="10253" max="10253" width="14.7109375" style="110" customWidth="1"/>
    <col min="10254" max="10254" width="19.5703125" style="110" customWidth="1"/>
    <col min="10255" max="10255" width="14.42578125" style="110" customWidth="1"/>
    <col min="10256" max="10256" width="9.140625" style="110"/>
    <col min="10257" max="10257" width="12.85546875" style="110" customWidth="1"/>
    <col min="10258" max="10258" width="9.140625" style="110"/>
    <col min="10259" max="10259" width="14.28515625" style="110" customWidth="1"/>
    <col min="10260" max="10261" width="9.140625" style="110"/>
    <col min="10262" max="10262" width="13.7109375" style="110" customWidth="1"/>
    <col min="10263" max="10267" width="9.140625" style="110"/>
    <col min="10268" max="10268" width="24.28515625" style="110" customWidth="1"/>
    <col min="10269" max="10269" width="9.140625" style="110"/>
    <col min="10270" max="10271" width="13" style="110" customWidth="1"/>
    <col min="10272" max="10272" width="9.140625" style="110"/>
    <col min="10273" max="10273" width="11.140625" style="110" customWidth="1"/>
    <col min="10274" max="10496" width="9.140625" style="110"/>
    <col min="10497" max="10497" width="30.28515625" style="110" customWidth="1"/>
    <col min="10498" max="10498" width="12.7109375" style="110" customWidth="1"/>
    <col min="10499" max="10499" width="11.5703125" style="110" customWidth="1"/>
    <col min="10500" max="10500" width="12.85546875" style="110" customWidth="1"/>
    <col min="10501" max="10501" width="11.28515625" style="110" bestFit="1" customWidth="1"/>
    <col min="10502" max="10502" width="13.28515625" style="110" customWidth="1"/>
    <col min="10503" max="10503" width="20.42578125" style="110" customWidth="1"/>
    <col min="10504" max="10504" width="15.7109375" style="110" customWidth="1"/>
    <col min="10505" max="10505" width="14.140625" style="110" customWidth="1"/>
    <col min="10506" max="10506" width="18.28515625" style="110" customWidth="1"/>
    <col min="10507" max="10507" width="11" style="110" customWidth="1"/>
    <col min="10508" max="10508" width="12.42578125" style="110" customWidth="1"/>
    <col min="10509" max="10509" width="14.7109375" style="110" customWidth="1"/>
    <col min="10510" max="10510" width="19.5703125" style="110" customWidth="1"/>
    <col min="10511" max="10511" width="14.42578125" style="110" customWidth="1"/>
    <col min="10512" max="10512" width="9.140625" style="110"/>
    <col min="10513" max="10513" width="12.85546875" style="110" customWidth="1"/>
    <col min="10514" max="10514" width="9.140625" style="110"/>
    <col min="10515" max="10515" width="14.28515625" style="110" customWidth="1"/>
    <col min="10516" max="10517" width="9.140625" style="110"/>
    <col min="10518" max="10518" width="13.7109375" style="110" customWidth="1"/>
    <col min="10519" max="10523" width="9.140625" style="110"/>
    <col min="10524" max="10524" width="24.28515625" style="110" customWidth="1"/>
    <col min="10525" max="10525" width="9.140625" style="110"/>
    <col min="10526" max="10527" width="13" style="110" customWidth="1"/>
    <col min="10528" max="10528" width="9.140625" style="110"/>
    <col min="10529" max="10529" width="11.140625" style="110" customWidth="1"/>
    <col min="10530" max="10752" width="9.140625" style="110"/>
    <col min="10753" max="10753" width="30.28515625" style="110" customWidth="1"/>
    <col min="10754" max="10754" width="12.7109375" style="110" customWidth="1"/>
    <col min="10755" max="10755" width="11.5703125" style="110" customWidth="1"/>
    <col min="10756" max="10756" width="12.85546875" style="110" customWidth="1"/>
    <col min="10757" max="10757" width="11.28515625" style="110" bestFit="1" customWidth="1"/>
    <col min="10758" max="10758" width="13.28515625" style="110" customWidth="1"/>
    <col min="10759" max="10759" width="20.42578125" style="110" customWidth="1"/>
    <col min="10760" max="10760" width="15.7109375" style="110" customWidth="1"/>
    <col min="10761" max="10761" width="14.140625" style="110" customWidth="1"/>
    <col min="10762" max="10762" width="18.28515625" style="110" customWidth="1"/>
    <col min="10763" max="10763" width="11" style="110" customWidth="1"/>
    <col min="10764" max="10764" width="12.42578125" style="110" customWidth="1"/>
    <col min="10765" max="10765" width="14.7109375" style="110" customWidth="1"/>
    <col min="10766" max="10766" width="19.5703125" style="110" customWidth="1"/>
    <col min="10767" max="10767" width="14.42578125" style="110" customWidth="1"/>
    <col min="10768" max="10768" width="9.140625" style="110"/>
    <col min="10769" max="10769" width="12.85546875" style="110" customWidth="1"/>
    <col min="10770" max="10770" width="9.140625" style="110"/>
    <col min="10771" max="10771" width="14.28515625" style="110" customWidth="1"/>
    <col min="10772" max="10773" width="9.140625" style="110"/>
    <col min="10774" max="10774" width="13.7109375" style="110" customWidth="1"/>
    <col min="10775" max="10779" width="9.140625" style="110"/>
    <col min="10780" max="10780" width="24.28515625" style="110" customWidth="1"/>
    <col min="10781" max="10781" width="9.140625" style="110"/>
    <col min="10782" max="10783" width="13" style="110" customWidth="1"/>
    <col min="10784" max="10784" width="9.140625" style="110"/>
    <col min="10785" max="10785" width="11.140625" style="110" customWidth="1"/>
    <col min="10786" max="11008" width="9.140625" style="110"/>
    <col min="11009" max="11009" width="30.28515625" style="110" customWidth="1"/>
    <col min="11010" max="11010" width="12.7109375" style="110" customWidth="1"/>
    <col min="11011" max="11011" width="11.5703125" style="110" customWidth="1"/>
    <col min="11012" max="11012" width="12.85546875" style="110" customWidth="1"/>
    <col min="11013" max="11013" width="11.28515625" style="110" bestFit="1" customWidth="1"/>
    <col min="11014" max="11014" width="13.28515625" style="110" customWidth="1"/>
    <col min="11015" max="11015" width="20.42578125" style="110" customWidth="1"/>
    <col min="11016" max="11016" width="15.7109375" style="110" customWidth="1"/>
    <col min="11017" max="11017" width="14.140625" style="110" customWidth="1"/>
    <col min="11018" max="11018" width="18.28515625" style="110" customWidth="1"/>
    <col min="11019" max="11019" width="11" style="110" customWidth="1"/>
    <col min="11020" max="11020" width="12.42578125" style="110" customWidth="1"/>
    <col min="11021" max="11021" width="14.7109375" style="110" customWidth="1"/>
    <col min="11022" max="11022" width="19.5703125" style="110" customWidth="1"/>
    <col min="11023" max="11023" width="14.42578125" style="110" customWidth="1"/>
    <col min="11024" max="11024" width="9.140625" style="110"/>
    <col min="11025" max="11025" width="12.85546875" style="110" customWidth="1"/>
    <col min="11026" max="11026" width="9.140625" style="110"/>
    <col min="11027" max="11027" width="14.28515625" style="110" customWidth="1"/>
    <col min="11028" max="11029" width="9.140625" style="110"/>
    <col min="11030" max="11030" width="13.7109375" style="110" customWidth="1"/>
    <col min="11031" max="11035" width="9.140625" style="110"/>
    <col min="11036" max="11036" width="24.28515625" style="110" customWidth="1"/>
    <col min="11037" max="11037" width="9.140625" style="110"/>
    <col min="11038" max="11039" width="13" style="110" customWidth="1"/>
    <col min="11040" max="11040" width="9.140625" style="110"/>
    <col min="11041" max="11041" width="11.140625" style="110" customWidth="1"/>
    <col min="11042" max="11264" width="9.140625" style="110"/>
    <col min="11265" max="11265" width="30.28515625" style="110" customWidth="1"/>
    <col min="11266" max="11266" width="12.7109375" style="110" customWidth="1"/>
    <col min="11267" max="11267" width="11.5703125" style="110" customWidth="1"/>
    <col min="11268" max="11268" width="12.85546875" style="110" customWidth="1"/>
    <col min="11269" max="11269" width="11.28515625" style="110" bestFit="1" customWidth="1"/>
    <col min="11270" max="11270" width="13.28515625" style="110" customWidth="1"/>
    <col min="11271" max="11271" width="20.42578125" style="110" customWidth="1"/>
    <col min="11272" max="11272" width="15.7109375" style="110" customWidth="1"/>
    <col min="11273" max="11273" width="14.140625" style="110" customWidth="1"/>
    <col min="11274" max="11274" width="18.28515625" style="110" customWidth="1"/>
    <col min="11275" max="11275" width="11" style="110" customWidth="1"/>
    <col min="11276" max="11276" width="12.42578125" style="110" customWidth="1"/>
    <col min="11277" max="11277" width="14.7109375" style="110" customWidth="1"/>
    <col min="11278" max="11278" width="19.5703125" style="110" customWidth="1"/>
    <col min="11279" max="11279" width="14.42578125" style="110" customWidth="1"/>
    <col min="11280" max="11280" width="9.140625" style="110"/>
    <col min="11281" max="11281" width="12.85546875" style="110" customWidth="1"/>
    <col min="11282" max="11282" width="9.140625" style="110"/>
    <col min="11283" max="11283" width="14.28515625" style="110" customWidth="1"/>
    <col min="11284" max="11285" width="9.140625" style="110"/>
    <col min="11286" max="11286" width="13.7109375" style="110" customWidth="1"/>
    <col min="11287" max="11291" width="9.140625" style="110"/>
    <col min="11292" max="11292" width="24.28515625" style="110" customWidth="1"/>
    <col min="11293" max="11293" width="9.140625" style="110"/>
    <col min="11294" max="11295" width="13" style="110" customWidth="1"/>
    <col min="11296" max="11296" width="9.140625" style="110"/>
    <col min="11297" max="11297" width="11.140625" style="110" customWidth="1"/>
    <col min="11298" max="11520" width="9.140625" style="110"/>
    <col min="11521" max="11521" width="30.28515625" style="110" customWidth="1"/>
    <col min="11522" max="11522" width="12.7109375" style="110" customWidth="1"/>
    <col min="11523" max="11523" width="11.5703125" style="110" customWidth="1"/>
    <col min="11524" max="11524" width="12.85546875" style="110" customWidth="1"/>
    <col min="11525" max="11525" width="11.28515625" style="110" bestFit="1" customWidth="1"/>
    <col min="11526" max="11526" width="13.28515625" style="110" customWidth="1"/>
    <col min="11527" max="11527" width="20.42578125" style="110" customWidth="1"/>
    <col min="11528" max="11528" width="15.7109375" style="110" customWidth="1"/>
    <col min="11529" max="11529" width="14.140625" style="110" customWidth="1"/>
    <col min="11530" max="11530" width="18.28515625" style="110" customWidth="1"/>
    <col min="11531" max="11531" width="11" style="110" customWidth="1"/>
    <col min="11532" max="11532" width="12.42578125" style="110" customWidth="1"/>
    <col min="11533" max="11533" width="14.7109375" style="110" customWidth="1"/>
    <col min="11534" max="11534" width="19.5703125" style="110" customWidth="1"/>
    <col min="11535" max="11535" width="14.42578125" style="110" customWidth="1"/>
    <col min="11536" max="11536" width="9.140625" style="110"/>
    <col min="11537" max="11537" width="12.85546875" style="110" customWidth="1"/>
    <col min="11538" max="11538" width="9.140625" style="110"/>
    <col min="11539" max="11539" width="14.28515625" style="110" customWidth="1"/>
    <col min="11540" max="11541" width="9.140625" style="110"/>
    <col min="11542" max="11542" width="13.7109375" style="110" customWidth="1"/>
    <col min="11543" max="11547" width="9.140625" style="110"/>
    <col min="11548" max="11548" width="24.28515625" style="110" customWidth="1"/>
    <col min="11549" max="11549" width="9.140625" style="110"/>
    <col min="11550" max="11551" width="13" style="110" customWidth="1"/>
    <col min="11552" max="11552" width="9.140625" style="110"/>
    <col min="11553" max="11553" width="11.140625" style="110" customWidth="1"/>
    <col min="11554" max="11776" width="9.140625" style="110"/>
    <col min="11777" max="11777" width="30.28515625" style="110" customWidth="1"/>
    <col min="11778" max="11778" width="12.7109375" style="110" customWidth="1"/>
    <col min="11779" max="11779" width="11.5703125" style="110" customWidth="1"/>
    <col min="11780" max="11780" width="12.85546875" style="110" customWidth="1"/>
    <col min="11781" max="11781" width="11.28515625" style="110" bestFit="1" customWidth="1"/>
    <col min="11782" max="11782" width="13.28515625" style="110" customWidth="1"/>
    <col min="11783" max="11783" width="20.42578125" style="110" customWidth="1"/>
    <col min="11784" max="11784" width="15.7109375" style="110" customWidth="1"/>
    <col min="11785" max="11785" width="14.140625" style="110" customWidth="1"/>
    <col min="11786" max="11786" width="18.28515625" style="110" customWidth="1"/>
    <col min="11787" max="11787" width="11" style="110" customWidth="1"/>
    <col min="11788" max="11788" width="12.42578125" style="110" customWidth="1"/>
    <col min="11789" max="11789" width="14.7109375" style="110" customWidth="1"/>
    <col min="11790" max="11790" width="19.5703125" style="110" customWidth="1"/>
    <col min="11791" max="11791" width="14.42578125" style="110" customWidth="1"/>
    <col min="11792" max="11792" width="9.140625" style="110"/>
    <col min="11793" max="11793" width="12.85546875" style="110" customWidth="1"/>
    <col min="11794" max="11794" width="9.140625" style="110"/>
    <col min="11795" max="11795" width="14.28515625" style="110" customWidth="1"/>
    <col min="11796" max="11797" width="9.140625" style="110"/>
    <col min="11798" max="11798" width="13.7109375" style="110" customWidth="1"/>
    <col min="11799" max="11803" width="9.140625" style="110"/>
    <col min="11804" max="11804" width="24.28515625" style="110" customWidth="1"/>
    <col min="11805" max="11805" width="9.140625" style="110"/>
    <col min="11806" max="11807" width="13" style="110" customWidth="1"/>
    <col min="11808" max="11808" width="9.140625" style="110"/>
    <col min="11809" max="11809" width="11.140625" style="110" customWidth="1"/>
    <col min="11810" max="12032" width="9.140625" style="110"/>
    <col min="12033" max="12033" width="30.28515625" style="110" customWidth="1"/>
    <col min="12034" max="12034" width="12.7109375" style="110" customWidth="1"/>
    <col min="12035" max="12035" width="11.5703125" style="110" customWidth="1"/>
    <col min="12036" max="12036" width="12.85546875" style="110" customWidth="1"/>
    <col min="12037" max="12037" width="11.28515625" style="110" bestFit="1" customWidth="1"/>
    <col min="12038" max="12038" width="13.28515625" style="110" customWidth="1"/>
    <col min="12039" max="12039" width="20.42578125" style="110" customWidth="1"/>
    <col min="12040" max="12040" width="15.7109375" style="110" customWidth="1"/>
    <col min="12041" max="12041" width="14.140625" style="110" customWidth="1"/>
    <col min="12042" max="12042" width="18.28515625" style="110" customWidth="1"/>
    <col min="12043" max="12043" width="11" style="110" customWidth="1"/>
    <col min="12044" max="12044" width="12.42578125" style="110" customWidth="1"/>
    <col min="12045" max="12045" width="14.7109375" style="110" customWidth="1"/>
    <col min="12046" max="12046" width="19.5703125" style="110" customWidth="1"/>
    <col min="12047" max="12047" width="14.42578125" style="110" customWidth="1"/>
    <col min="12048" max="12048" width="9.140625" style="110"/>
    <col min="12049" max="12049" width="12.85546875" style="110" customWidth="1"/>
    <col min="12050" max="12050" width="9.140625" style="110"/>
    <col min="12051" max="12051" width="14.28515625" style="110" customWidth="1"/>
    <col min="12052" max="12053" width="9.140625" style="110"/>
    <col min="12054" max="12054" width="13.7109375" style="110" customWidth="1"/>
    <col min="12055" max="12059" width="9.140625" style="110"/>
    <col min="12060" max="12060" width="24.28515625" style="110" customWidth="1"/>
    <col min="12061" max="12061" width="9.140625" style="110"/>
    <col min="12062" max="12063" width="13" style="110" customWidth="1"/>
    <col min="12064" max="12064" width="9.140625" style="110"/>
    <col min="12065" max="12065" width="11.140625" style="110" customWidth="1"/>
    <col min="12066" max="12288" width="9.140625" style="110"/>
    <col min="12289" max="12289" width="30.28515625" style="110" customWidth="1"/>
    <col min="12290" max="12290" width="12.7109375" style="110" customWidth="1"/>
    <col min="12291" max="12291" width="11.5703125" style="110" customWidth="1"/>
    <col min="12292" max="12292" width="12.85546875" style="110" customWidth="1"/>
    <col min="12293" max="12293" width="11.28515625" style="110" bestFit="1" customWidth="1"/>
    <col min="12294" max="12294" width="13.28515625" style="110" customWidth="1"/>
    <col min="12295" max="12295" width="20.42578125" style="110" customWidth="1"/>
    <col min="12296" max="12296" width="15.7109375" style="110" customWidth="1"/>
    <col min="12297" max="12297" width="14.140625" style="110" customWidth="1"/>
    <col min="12298" max="12298" width="18.28515625" style="110" customWidth="1"/>
    <col min="12299" max="12299" width="11" style="110" customWidth="1"/>
    <col min="12300" max="12300" width="12.42578125" style="110" customWidth="1"/>
    <col min="12301" max="12301" width="14.7109375" style="110" customWidth="1"/>
    <col min="12302" max="12302" width="19.5703125" style="110" customWidth="1"/>
    <col min="12303" max="12303" width="14.42578125" style="110" customWidth="1"/>
    <col min="12304" max="12304" width="9.140625" style="110"/>
    <col min="12305" max="12305" width="12.85546875" style="110" customWidth="1"/>
    <col min="12306" max="12306" width="9.140625" style="110"/>
    <col min="12307" max="12307" width="14.28515625" style="110" customWidth="1"/>
    <col min="12308" max="12309" width="9.140625" style="110"/>
    <col min="12310" max="12310" width="13.7109375" style="110" customWidth="1"/>
    <col min="12311" max="12315" width="9.140625" style="110"/>
    <col min="12316" max="12316" width="24.28515625" style="110" customWidth="1"/>
    <col min="12317" max="12317" width="9.140625" style="110"/>
    <col min="12318" max="12319" width="13" style="110" customWidth="1"/>
    <col min="12320" max="12320" width="9.140625" style="110"/>
    <col min="12321" max="12321" width="11.140625" style="110" customWidth="1"/>
    <col min="12322" max="12544" width="9.140625" style="110"/>
    <col min="12545" max="12545" width="30.28515625" style="110" customWidth="1"/>
    <col min="12546" max="12546" width="12.7109375" style="110" customWidth="1"/>
    <col min="12547" max="12547" width="11.5703125" style="110" customWidth="1"/>
    <col min="12548" max="12548" width="12.85546875" style="110" customWidth="1"/>
    <col min="12549" max="12549" width="11.28515625" style="110" bestFit="1" customWidth="1"/>
    <col min="12550" max="12550" width="13.28515625" style="110" customWidth="1"/>
    <col min="12551" max="12551" width="20.42578125" style="110" customWidth="1"/>
    <col min="12552" max="12552" width="15.7109375" style="110" customWidth="1"/>
    <col min="12553" max="12553" width="14.140625" style="110" customWidth="1"/>
    <col min="12554" max="12554" width="18.28515625" style="110" customWidth="1"/>
    <col min="12555" max="12555" width="11" style="110" customWidth="1"/>
    <col min="12556" max="12556" width="12.42578125" style="110" customWidth="1"/>
    <col min="12557" max="12557" width="14.7109375" style="110" customWidth="1"/>
    <col min="12558" max="12558" width="19.5703125" style="110" customWidth="1"/>
    <col min="12559" max="12559" width="14.42578125" style="110" customWidth="1"/>
    <col min="12560" max="12560" width="9.140625" style="110"/>
    <col min="12561" max="12561" width="12.85546875" style="110" customWidth="1"/>
    <col min="12562" max="12562" width="9.140625" style="110"/>
    <col min="12563" max="12563" width="14.28515625" style="110" customWidth="1"/>
    <col min="12564" max="12565" width="9.140625" style="110"/>
    <col min="12566" max="12566" width="13.7109375" style="110" customWidth="1"/>
    <col min="12567" max="12571" width="9.140625" style="110"/>
    <col min="12572" max="12572" width="24.28515625" style="110" customWidth="1"/>
    <col min="12573" max="12573" width="9.140625" style="110"/>
    <col min="12574" max="12575" width="13" style="110" customWidth="1"/>
    <col min="12576" max="12576" width="9.140625" style="110"/>
    <col min="12577" max="12577" width="11.140625" style="110" customWidth="1"/>
    <col min="12578" max="12800" width="9.140625" style="110"/>
    <col min="12801" max="12801" width="30.28515625" style="110" customWidth="1"/>
    <col min="12802" max="12802" width="12.7109375" style="110" customWidth="1"/>
    <col min="12803" max="12803" width="11.5703125" style="110" customWidth="1"/>
    <col min="12804" max="12804" width="12.85546875" style="110" customWidth="1"/>
    <col min="12805" max="12805" width="11.28515625" style="110" bestFit="1" customWidth="1"/>
    <col min="12806" max="12806" width="13.28515625" style="110" customWidth="1"/>
    <col min="12807" max="12807" width="20.42578125" style="110" customWidth="1"/>
    <col min="12808" max="12808" width="15.7109375" style="110" customWidth="1"/>
    <col min="12809" max="12809" width="14.140625" style="110" customWidth="1"/>
    <col min="12810" max="12810" width="18.28515625" style="110" customWidth="1"/>
    <col min="12811" max="12811" width="11" style="110" customWidth="1"/>
    <col min="12812" max="12812" width="12.42578125" style="110" customWidth="1"/>
    <col min="12813" max="12813" width="14.7109375" style="110" customWidth="1"/>
    <col min="12814" max="12814" width="19.5703125" style="110" customWidth="1"/>
    <col min="12815" max="12815" width="14.42578125" style="110" customWidth="1"/>
    <col min="12816" max="12816" width="9.140625" style="110"/>
    <col min="12817" max="12817" width="12.85546875" style="110" customWidth="1"/>
    <col min="12818" max="12818" width="9.140625" style="110"/>
    <col min="12819" max="12819" width="14.28515625" style="110" customWidth="1"/>
    <col min="12820" max="12821" width="9.140625" style="110"/>
    <col min="12822" max="12822" width="13.7109375" style="110" customWidth="1"/>
    <col min="12823" max="12827" width="9.140625" style="110"/>
    <col min="12828" max="12828" width="24.28515625" style="110" customWidth="1"/>
    <col min="12829" max="12829" width="9.140625" style="110"/>
    <col min="12830" max="12831" width="13" style="110" customWidth="1"/>
    <col min="12832" max="12832" width="9.140625" style="110"/>
    <col min="12833" max="12833" width="11.140625" style="110" customWidth="1"/>
    <col min="12834" max="13056" width="9.140625" style="110"/>
    <col min="13057" max="13057" width="30.28515625" style="110" customWidth="1"/>
    <col min="13058" max="13058" width="12.7109375" style="110" customWidth="1"/>
    <col min="13059" max="13059" width="11.5703125" style="110" customWidth="1"/>
    <col min="13060" max="13060" width="12.85546875" style="110" customWidth="1"/>
    <col min="13061" max="13061" width="11.28515625" style="110" bestFit="1" customWidth="1"/>
    <col min="13062" max="13062" width="13.28515625" style="110" customWidth="1"/>
    <col min="13063" max="13063" width="20.42578125" style="110" customWidth="1"/>
    <col min="13064" max="13064" width="15.7109375" style="110" customWidth="1"/>
    <col min="13065" max="13065" width="14.140625" style="110" customWidth="1"/>
    <col min="13066" max="13066" width="18.28515625" style="110" customWidth="1"/>
    <col min="13067" max="13067" width="11" style="110" customWidth="1"/>
    <col min="13068" max="13068" width="12.42578125" style="110" customWidth="1"/>
    <col min="13069" max="13069" width="14.7109375" style="110" customWidth="1"/>
    <col min="13070" max="13070" width="19.5703125" style="110" customWidth="1"/>
    <col min="13071" max="13071" width="14.42578125" style="110" customWidth="1"/>
    <col min="13072" max="13072" width="9.140625" style="110"/>
    <col min="13073" max="13073" width="12.85546875" style="110" customWidth="1"/>
    <col min="13074" max="13074" width="9.140625" style="110"/>
    <col min="13075" max="13075" width="14.28515625" style="110" customWidth="1"/>
    <col min="13076" max="13077" width="9.140625" style="110"/>
    <col min="13078" max="13078" width="13.7109375" style="110" customWidth="1"/>
    <col min="13079" max="13083" width="9.140625" style="110"/>
    <col min="13084" max="13084" width="24.28515625" style="110" customWidth="1"/>
    <col min="13085" max="13085" width="9.140625" style="110"/>
    <col min="13086" max="13087" width="13" style="110" customWidth="1"/>
    <col min="13088" max="13088" width="9.140625" style="110"/>
    <col min="13089" max="13089" width="11.140625" style="110" customWidth="1"/>
    <col min="13090" max="13312" width="9.140625" style="110"/>
    <col min="13313" max="13313" width="30.28515625" style="110" customWidth="1"/>
    <col min="13314" max="13314" width="12.7109375" style="110" customWidth="1"/>
    <col min="13315" max="13315" width="11.5703125" style="110" customWidth="1"/>
    <col min="13316" max="13316" width="12.85546875" style="110" customWidth="1"/>
    <col min="13317" max="13317" width="11.28515625" style="110" bestFit="1" customWidth="1"/>
    <col min="13318" max="13318" width="13.28515625" style="110" customWidth="1"/>
    <col min="13319" max="13319" width="20.42578125" style="110" customWidth="1"/>
    <col min="13320" max="13320" width="15.7109375" style="110" customWidth="1"/>
    <col min="13321" max="13321" width="14.140625" style="110" customWidth="1"/>
    <col min="13322" max="13322" width="18.28515625" style="110" customWidth="1"/>
    <col min="13323" max="13323" width="11" style="110" customWidth="1"/>
    <col min="13324" max="13324" width="12.42578125" style="110" customWidth="1"/>
    <col min="13325" max="13325" width="14.7109375" style="110" customWidth="1"/>
    <col min="13326" max="13326" width="19.5703125" style="110" customWidth="1"/>
    <col min="13327" max="13327" width="14.42578125" style="110" customWidth="1"/>
    <col min="13328" max="13328" width="9.140625" style="110"/>
    <col min="13329" max="13329" width="12.85546875" style="110" customWidth="1"/>
    <col min="13330" max="13330" width="9.140625" style="110"/>
    <col min="13331" max="13331" width="14.28515625" style="110" customWidth="1"/>
    <col min="13332" max="13333" width="9.140625" style="110"/>
    <col min="13334" max="13334" width="13.7109375" style="110" customWidth="1"/>
    <col min="13335" max="13339" width="9.140625" style="110"/>
    <col min="13340" max="13340" width="24.28515625" style="110" customWidth="1"/>
    <col min="13341" max="13341" width="9.140625" style="110"/>
    <col min="13342" max="13343" width="13" style="110" customWidth="1"/>
    <col min="13344" max="13344" width="9.140625" style="110"/>
    <col min="13345" max="13345" width="11.140625" style="110" customWidth="1"/>
    <col min="13346" max="13568" width="9.140625" style="110"/>
    <col min="13569" max="13569" width="30.28515625" style="110" customWidth="1"/>
    <col min="13570" max="13570" width="12.7109375" style="110" customWidth="1"/>
    <col min="13571" max="13571" width="11.5703125" style="110" customWidth="1"/>
    <col min="13572" max="13572" width="12.85546875" style="110" customWidth="1"/>
    <col min="13573" max="13573" width="11.28515625" style="110" bestFit="1" customWidth="1"/>
    <col min="13574" max="13574" width="13.28515625" style="110" customWidth="1"/>
    <col min="13575" max="13575" width="20.42578125" style="110" customWidth="1"/>
    <col min="13576" max="13576" width="15.7109375" style="110" customWidth="1"/>
    <col min="13577" max="13577" width="14.140625" style="110" customWidth="1"/>
    <col min="13578" max="13578" width="18.28515625" style="110" customWidth="1"/>
    <col min="13579" max="13579" width="11" style="110" customWidth="1"/>
    <col min="13580" max="13580" width="12.42578125" style="110" customWidth="1"/>
    <col min="13581" max="13581" width="14.7109375" style="110" customWidth="1"/>
    <col min="13582" max="13582" width="19.5703125" style="110" customWidth="1"/>
    <col min="13583" max="13583" width="14.42578125" style="110" customWidth="1"/>
    <col min="13584" max="13584" width="9.140625" style="110"/>
    <col min="13585" max="13585" width="12.85546875" style="110" customWidth="1"/>
    <col min="13586" max="13586" width="9.140625" style="110"/>
    <col min="13587" max="13587" width="14.28515625" style="110" customWidth="1"/>
    <col min="13588" max="13589" width="9.140625" style="110"/>
    <col min="13590" max="13590" width="13.7109375" style="110" customWidth="1"/>
    <col min="13591" max="13595" width="9.140625" style="110"/>
    <col min="13596" max="13596" width="24.28515625" style="110" customWidth="1"/>
    <col min="13597" max="13597" width="9.140625" style="110"/>
    <col min="13598" max="13599" width="13" style="110" customWidth="1"/>
    <col min="13600" max="13600" width="9.140625" style="110"/>
    <col min="13601" max="13601" width="11.140625" style="110" customWidth="1"/>
    <col min="13602" max="13824" width="9.140625" style="110"/>
    <col min="13825" max="13825" width="30.28515625" style="110" customWidth="1"/>
    <col min="13826" max="13826" width="12.7109375" style="110" customWidth="1"/>
    <col min="13827" max="13827" width="11.5703125" style="110" customWidth="1"/>
    <col min="13828" max="13828" width="12.85546875" style="110" customWidth="1"/>
    <col min="13829" max="13829" width="11.28515625" style="110" bestFit="1" customWidth="1"/>
    <col min="13830" max="13830" width="13.28515625" style="110" customWidth="1"/>
    <col min="13831" max="13831" width="20.42578125" style="110" customWidth="1"/>
    <col min="13832" max="13832" width="15.7109375" style="110" customWidth="1"/>
    <col min="13833" max="13833" width="14.140625" style="110" customWidth="1"/>
    <col min="13834" max="13834" width="18.28515625" style="110" customWidth="1"/>
    <col min="13835" max="13835" width="11" style="110" customWidth="1"/>
    <col min="13836" max="13836" width="12.42578125" style="110" customWidth="1"/>
    <col min="13837" max="13837" width="14.7109375" style="110" customWidth="1"/>
    <col min="13838" max="13838" width="19.5703125" style="110" customWidth="1"/>
    <col min="13839" max="13839" width="14.42578125" style="110" customWidth="1"/>
    <col min="13840" max="13840" width="9.140625" style="110"/>
    <col min="13841" max="13841" width="12.85546875" style="110" customWidth="1"/>
    <col min="13842" max="13842" width="9.140625" style="110"/>
    <col min="13843" max="13843" width="14.28515625" style="110" customWidth="1"/>
    <col min="13844" max="13845" width="9.140625" style="110"/>
    <col min="13846" max="13846" width="13.7109375" style="110" customWidth="1"/>
    <col min="13847" max="13851" width="9.140625" style="110"/>
    <col min="13852" max="13852" width="24.28515625" style="110" customWidth="1"/>
    <col min="13853" max="13853" width="9.140625" style="110"/>
    <col min="13854" max="13855" width="13" style="110" customWidth="1"/>
    <col min="13856" max="13856" width="9.140625" style="110"/>
    <col min="13857" max="13857" width="11.140625" style="110" customWidth="1"/>
    <col min="13858" max="14080" width="9.140625" style="110"/>
    <col min="14081" max="14081" width="30.28515625" style="110" customWidth="1"/>
    <col min="14082" max="14082" width="12.7109375" style="110" customWidth="1"/>
    <col min="14083" max="14083" width="11.5703125" style="110" customWidth="1"/>
    <col min="14084" max="14084" width="12.85546875" style="110" customWidth="1"/>
    <col min="14085" max="14085" width="11.28515625" style="110" bestFit="1" customWidth="1"/>
    <col min="14086" max="14086" width="13.28515625" style="110" customWidth="1"/>
    <col min="14087" max="14087" width="20.42578125" style="110" customWidth="1"/>
    <col min="14088" max="14088" width="15.7109375" style="110" customWidth="1"/>
    <col min="14089" max="14089" width="14.140625" style="110" customWidth="1"/>
    <col min="14090" max="14090" width="18.28515625" style="110" customWidth="1"/>
    <col min="14091" max="14091" width="11" style="110" customWidth="1"/>
    <col min="14092" max="14092" width="12.42578125" style="110" customWidth="1"/>
    <col min="14093" max="14093" width="14.7109375" style="110" customWidth="1"/>
    <col min="14094" max="14094" width="19.5703125" style="110" customWidth="1"/>
    <col min="14095" max="14095" width="14.42578125" style="110" customWidth="1"/>
    <col min="14096" max="14096" width="9.140625" style="110"/>
    <col min="14097" max="14097" width="12.85546875" style="110" customWidth="1"/>
    <col min="14098" max="14098" width="9.140625" style="110"/>
    <col min="14099" max="14099" width="14.28515625" style="110" customWidth="1"/>
    <col min="14100" max="14101" width="9.140625" style="110"/>
    <col min="14102" max="14102" width="13.7109375" style="110" customWidth="1"/>
    <col min="14103" max="14107" width="9.140625" style="110"/>
    <col min="14108" max="14108" width="24.28515625" style="110" customWidth="1"/>
    <col min="14109" max="14109" width="9.140625" style="110"/>
    <col min="14110" max="14111" width="13" style="110" customWidth="1"/>
    <col min="14112" max="14112" width="9.140625" style="110"/>
    <col min="14113" max="14113" width="11.140625" style="110" customWidth="1"/>
    <col min="14114" max="14336" width="9.140625" style="110"/>
    <col min="14337" max="14337" width="30.28515625" style="110" customWidth="1"/>
    <col min="14338" max="14338" width="12.7109375" style="110" customWidth="1"/>
    <col min="14339" max="14339" width="11.5703125" style="110" customWidth="1"/>
    <col min="14340" max="14340" width="12.85546875" style="110" customWidth="1"/>
    <col min="14341" max="14341" width="11.28515625" style="110" bestFit="1" customWidth="1"/>
    <col min="14342" max="14342" width="13.28515625" style="110" customWidth="1"/>
    <col min="14343" max="14343" width="20.42578125" style="110" customWidth="1"/>
    <col min="14344" max="14344" width="15.7109375" style="110" customWidth="1"/>
    <col min="14345" max="14345" width="14.140625" style="110" customWidth="1"/>
    <col min="14346" max="14346" width="18.28515625" style="110" customWidth="1"/>
    <col min="14347" max="14347" width="11" style="110" customWidth="1"/>
    <col min="14348" max="14348" width="12.42578125" style="110" customWidth="1"/>
    <col min="14349" max="14349" width="14.7109375" style="110" customWidth="1"/>
    <col min="14350" max="14350" width="19.5703125" style="110" customWidth="1"/>
    <col min="14351" max="14351" width="14.42578125" style="110" customWidth="1"/>
    <col min="14352" max="14352" width="9.140625" style="110"/>
    <col min="14353" max="14353" width="12.85546875" style="110" customWidth="1"/>
    <col min="14354" max="14354" width="9.140625" style="110"/>
    <col min="14355" max="14355" width="14.28515625" style="110" customWidth="1"/>
    <col min="14356" max="14357" width="9.140625" style="110"/>
    <col min="14358" max="14358" width="13.7109375" style="110" customWidth="1"/>
    <col min="14359" max="14363" width="9.140625" style="110"/>
    <col min="14364" max="14364" width="24.28515625" style="110" customWidth="1"/>
    <col min="14365" max="14365" width="9.140625" style="110"/>
    <col min="14366" max="14367" width="13" style="110" customWidth="1"/>
    <col min="14368" max="14368" width="9.140625" style="110"/>
    <col min="14369" max="14369" width="11.140625" style="110" customWidth="1"/>
    <col min="14370" max="14592" width="9.140625" style="110"/>
    <col min="14593" max="14593" width="30.28515625" style="110" customWidth="1"/>
    <col min="14594" max="14594" width="12.7109375" style="110" customWidth="1"/>
    <col min="14595" max="14595" width="11.5703125" style="110" customWidth="1"/>
    <col min="14596" max="14596" width="12.85546875" style="110" customWidth="1"/>
    <col min="14597" max="14597" width="11.28515625" style="110" bestFit="1" customWidth="1"/>
    <col min="14598" max="14598" width="13.28515625" style="110" customWidth="1"/>
    <col min="14599" max="14599" width="20.42578125" style="110" customWidth="1"/>
    <col min="14600" max="14600" width="15.7109375" style="110" customWidth="1"/>
    <col min="14601" max="14601" width="14.140625" style="110" customWidth="1"/>
    <col min="14602" max="14602" width="18.28515625" style="110" customWidth="1"/>
    <col min="14603" max="14603" width="11" style="110" customWidth="1"/>
    <col min="14604" max="14604" width="12.42578125" style="110" customWidth="1"/>
    <col min="14605" max="14605" width="14.7109375" style="110" customWidth="1"/>
    <col min="14606" max="14606" width="19.5703125" style="110" customWidth="1"/>
    <col min="14607" max="14607" width="14.42578125" style="110" customWidth="1"/>
    <col min="14608" max="14608" width="9.140625" style="110"/>
    <col min="14609" max="14609" width="12.85546875" style="110" customWidth="1"/>
    <col min="14610" max="14610" width="9.140625" style="110"/>
    <col min="14611" max="14611" width="14.28515625" style="110" customWidth="1"/>
    <col min="14612" max="14613" width="9.140625" style="110"/>
    <col min="14614" max="14614" width="13.7109375" style="110" customWidth="1"/>
    <col min="14615" max="14619" width="9.140625" style="110"/>
    <col min="14620" max="14620" width="24.28515625" style="110" customWidth="1"/>
    <col min="14621" max="14621" width="9.140625" style="110"/>
    <col min="14622" max="14623" width="13" style="110" customWidth="1"/>
    <col min="14624" max="14624" width="9.140625" style="110"/>
    <col min="14625" max="14625" width="11.140625" style="110" customWidth="1"/>
    <col min="14626" max="14848" width="9.140625" style="110"/>
    <col min="14849" max="14849" width="30.28515625" style="110" customWidth="1"/>
    <col min="14850" max="14850" width="12.7109375" style="110" customWidth="1"/>
    <col min="14851" max="14851" width="11.5703125" style="110" customWidth="1"/>
    <col min="14852" max="14852" width="12.85546875" style="110" customWidth="1"/>
    <col min="14853" max="14853" width="11.28515625" style="110" bestFit="1" customWidth="1"/>
    <col min="14854" max="14854" width="13.28515625" style="110" customWidth="1"/>
    <col min="14855" max="14855" width="20.42578125" style="110" customWidth="1"/>
    <col min="14856" max="14856" width="15.7109375" style="110" customWidth="1"/>
    <col min="14857" max="14857" width="14.140625" style="110" customWidth="1"/>
    <col min="14858" max="14858" width="18.28515625" style="110" customWidth="1"/>
    <col min="14859" max="14859" width="11" style="110" customWidth="1"/>
    <col min="14860" max="14860" width="12.42578125" style="110" customWidth="1"/>
    <col min="14861" max="14861" width="14.7109375" style="110" customWidth="1"/>
    <col min="14862" max="14862" width="19.5703125" style="110" customWidth="1"/>
    <col min="14863" max="14863" width="14.42578125" style="110" customWidth="1"/>
    <col min="14864" max="14864" width="9.140625" style="110"/>
    <col min="14865" max="14865" width="12.85546875" style="110" customWidth="1"/>
    <col min="14866" max="14866" width="9.140625" style="110"/>
    <col min="14867" max="14867" width="14.28515625" style="110" customWidth="1"/>
    <col min="14868" max="14869" width="9.140625" style="110"/>
    <col min="14870" max="14870" width="13.7109375" style="110" customWidth="1"/>
    <col min="14871" max="14875" width="9.140625" style="110"/>
    <col min="14876" max="14876" width="24.28515625" style="110" customWidth="1"/>
    <col min="14877" max="14877" width="9.140625" style="110"/>
    <col min="14878" max="14879" width="13" style="110" customWidth="1"/>
    <col min="14880" max="14880" width="9.140625" style="110"/>
    <col min="14881" max="14881" width="11.140625" style="110" customWidth="1"/>
    <col min="14882" max="15104" width="9.140625" style="110"/>
    <col min="15105" max="15105" width="30.28515625" style="110" customWidth="1"/>
    <col min="15106" max="15106" width="12.7109375" style="110" customWidth="1"/>
    <col min="15107" max="15107" width="11.5703125" style="110" customWidth="1"/>
    <col min="15108" max="15108" width="12.85546875" style="110" customWidth="1"/>
    <col min="15109" max="15109" width="11.28515625" style="110" bestFit="1" customWidth="1"/>
    <col min="15110" max="15110" width="13.28515625" style="110" customWidth="1"/>
    <col min="15111" max="15111" width="20.42578125" style="110" customWidth="1"/>
    <col min="15112" max="15112" width="15.7109375" style="110" customWidth="1"/>
    <col min="15113" max="15113" width="14.140625" style="110" customWidth="1"/>
    <col min="15114" max="15114" width="18.28515625" style="110" customWidth="1"/>
    <col min="15115" max="15115" width="11" style="110" customWidth="1"/>
    <col min="15116" max="15116" width="12.42578125" style="110" customWidth="1"/>
    <col min="15117" max="15117" width="14.7109375" style="110" customWidth="1"/>
    <col min="15118" max="15118" width="19.5703125" style="110" customWidth="1"/>
    <col min="15119" max="15119" width="14.42578125" style="110" customWidth="1"/>
    <col min="15120" max="15120" width="9.140625" style="110"/>
    <col min="15121" max="15121" width="12.85546875" style="110" customWidth="1"/>
    <col min="15122" max="15122" width="9.140625" style="110"/>
    <col min="15123" max="15123" width="14.28515625" style="110" customWidth="1"/>
    <col min="15124" max="15125" width="9.140625" style="110"/>
    <col min="15126" max="15126" width="13.7109375" style="110" customWidth="1"/>
    <col min="15127" max="15131" width="9.140625" style="110"/>
    <col min="15132" max="15132" width="24.28515625" style="110" customWidth="1"/>
    <col min="15133" max="15133" width="9.140625" style="110"/>
    <col min="15134" max="15135" width="13" style="110" customWidth="1"/>
    <col min="15136" max="15136" width="9.140625" style="110"/>
    <col min="15137" max="15137" width="11.140625" style="110" customWidth="1"/>
    <col min="15138" max="15360" width="9.140625" style="110"/>
    <col min="15361" max="15361" width="30.28515625" style="110" customWidth="1"/>
    <col min="15362" max="15362" width="12.7109375" style="110" customWidth="1"/>
    <col min="15363" max="15363" width="11.5703125" style="110" customWidth="1"/>
    <col min="15364" max="15364" width="12.85546875" style="110" customWidth="1"/>
    <col min="15365" max="15365" width="11.28515625" style="110" bestFit="1" customWidth="1"/>
    <col min="15366" max="15366" width="13.28515625" style="110" customWidth="1"/>
    <col min="15367" max="15367" width="20.42578125" style="110" customWidth="1"/>
    <col min="15368" max="15368" width="15.7109375" style="110" customWidth="1"/>
    <col min="15369" max="15369" width="14.140625" style="110" customWidth="1"/>
    <col min="15370" max="15370" width="18.28515625" style="110" customWidth="1"/>
    <col min="15371" max="15371" width="11" style="110" customWidth="1"/>
    <col min="15372" max="15372" width="12.42578125" style="110" customWidth="1"/>
    <col min="15373" max="15373" width="14.7109375" style="110" customWidth="1"/>
    <col min="15374" max="15374" width="19.5703125" style="110" customWidth="1"/>
    <col min="15375" max="15375" width="14.42578125" style="110" customWidth="1"/>
    <col min="15376" max="15376" width="9.140625" style="110"/>
    <col min="15377" max="15377" width="12.85546875" style="110" customWidth="1"/>
    <col min="15378" max="15378" width="9.140625" style="110"/>
    <col min="15379" max="15379" width="14.28515625" style="110" customWidth="1"/>
    <col min="15380" max="15381" width="9.140625" style="110"/>
    <col min="15382" max="15382" width="13.7109375" style="110" customWidth="1"/>
    <col min="15383" max="15387" width="9.140625" style="110"/>
    <col min="15388" max="15388" width="24.28515625" style="110" customWidth="1"/>
    <col min="15389" max="15389" width="9.140625" style="110"/>
    <col min="15390" max="15391" width="13" style="110" customWidth="1"/>
    <col min="15392" max="15392" width="9.140625" style="110"/>
    <col min="15393" max="15393" width="11.140625" style="110" customWidth="1"/>
    <col min="15394" max="15616" width="9.140625" style="110"/>
    <col min="15617" max="15617" width="30.28515625" style="110" customWidth="1"/>
    <col min="15618" max="15618" width="12.7109375" style="110" customWidth="1"/>
    <col min="15619" max="15619" width="11.5703125" style="110" customWidth="1"/>
    <col min="15620" max="15620" width="12.85546875" style="110" customWidth="1"/>
    <col min="15621" max="15621" width="11.28515625" style="110" bestFit="1" customWidth="1"/>
    <col min="15622" max="15622" width="13.28515625" style="110" customWidth="1"/>
    <col min="15623" max="15623" width="20.42578125" style="110" customWidth="1"/>
    <col min="15624" max="15624" width="15.7109375" style="110" customWidth="1"/>
    <col min="15625" max="15625" width="14.140625" style="110" customWidth="1"/>
    <col min="15626" max="15626" width="18.28515625" style="110" customWidth="1"/>
    <col min="15627" max="15627" width="11" style="110" customWidth="1"/>
    <col min="15628" max="15628" width="12.42578125" style="110" customWidth="1"/>
    <col min="15629" max="15629" width="14.7109375" style="110" customWidth="1"/>
    <col min="15630" max="15630" width="19.5703125" style="110" customWidth="1"/>
    <col min="15631" max="15631" width="14.42578125" style="110" customWidth="1"/>
    <col min="15632" max="15632" width="9.140625" style="110"/>
    <col min="15633" max="15633" width="12.85546875" style="110" customWidth="1"/>
    <col min="15634" max="15634" width="9.140625" style="110"/>
    <col min="15635" max="15635" width="14.28515625" style="110" customWidth="1"/>
    <col min="15636" max="15637" width="9.140625" style="110"/>
    <col min="15638" max="15638" width="13.7109375" style="110" customWidth="1"/>
    <col min="15639" max="15643" width="9.140625" style="110"/>
    <col min="15644" max="15644" width="24.28515625" style="110" customWidth="1"/>
    <col min="15645" max="15645" width="9.140625" style="110"/>
    <col min="15646" max="15647" width="13" style="110" customWidth="1"/>
    <col min="15648" max="15648" width="9.140625" style="110"/>
    <col min="15649" max="15649" width="11.140625" style="110" customWidth="1"/>
    <col min="15650" max="15872" width="9.140625" style="110"/>
    <col min="15873" max="15873" width="30.28515625" style="110" customWidth="1"/>
    <col min="15874" max="15874" width="12.7109375" style="110" customWidth="1"/>
    <col min="15875" max="15875" width="11.5703125" style="110" customWidth="1"/>
    <col min="15876" max="15876" width="12.85546875" style="110" customWidth="1"/>
    <col min="15877" max="15877" width="11.28515625" style="110" bestFit="1" customWidth="1"/>
    <col min="15878" max="15878" width="13.28515625" style="110" customWidth="1"/>
    <col min="15879" max="15879" width="20.42578125" style="110" customWidth="1"/>
    <col min="15880" max="15880" width="15.7109375" style="110" customWidth="1"/>
    <col min="15881" max="15881" width="14.140625" style="110" customWidth="1"/>
    <col min="15882" max="15882" width="18.28515625" style="110" customWidth="1"/>
    <col min="15883" max="15883" width="11" style="110" customWidth="1"/>
    <col min="15884" max="15884" width="12.42578125" style="110" customWidth="1"/>
    <col min="15885" max="15885" width="14.7109375" style="110" customWidth="1"/>
    <col min="15886" max="15886" width="19.5703125" style="110" customWidth="1"/>
    <col min="15887" max="15887" width="14.42578125" style="110" customWidth="1"/>
    <col min="15888" max="15888" width="9.140625" style="110"/>
    <col min="15889" max="15889" width="12.85546875" style="110" customWidth="1"/>
    <col min="15890" max="15890" width="9.140625" style="110"/>
    <col min="15891" max="15891" width="14.28515625" style="110" customWidth="1"/>
    <col min="15892" max="15893" width="9.140625" style="110"/>
    <col min="15894" max="15894" width="13.7109375" style="110" customWidth="1"/>
    <col min="15895" max="15899" width="9.140625" style="110"/>
    <col min="15900" max="15900" width="24.28515625" style="110" customWidth="1"/>
    <col min="15901" max="15901" width="9.140625" style="110"/>
    <col min="15902" max="15903" width="13" style="110" customWidth="1"/>
    <col min="15904" max="15904" width="9.140625" style="110"/>
    <col min="15905" max="15905" width="11.140625" style="110" customWidth="1"/>
    <col min="15906" max="16128" width="9.140625" style="110"/>
    <col min="16129" max="16129" width="30.28515625" style="110" customWidth="1"/>
    <col min="16130" max="16130" width="12.7109375" style="110" customWidth="1"/>
    <col min="16131" max="16131" width="11.5703125" style="110" customWidth="1"/>
    <col min="16132" max="16132" width="12.85546875" style="110" customWidth="1"/>
    <col min="16133" max="16133" width="11.28515625" style="110" bestFit="1" customWidth="1"/>
    <col min="16134" max="16134" width="13.28515625" style="110" customWidth="1"/>
    <col min="16135" max="16135" width="20.42578125" style="110" customWidth="1"/>
    <col min="16136" max="16136" width="15.7109375" style="110" customWidth="1"/>
    <col min="16137" max="16137" width="14.140625" style="110" customWidth="1"/>
    <col min="16138" max="16138" width="18.28515625" style="110" customWidth="1"/>
    <col min="16139" max="16139" width="11" style="110" customWidth="1"/>
    <col min="16140" max="16140" width="12.42578125" style="110" customWidth="1"/>
    <col min="16141" max="16141" width="14.7109375" style="110" customWidth="1"/>
    <col min="16142" max="16142" width="19.5703125" style="110" customWidth="1"/>
    <col min="16143" max="16143" width="14.42578125" style="110" customWidth="1"/>
    <col min="16144" max="16144" width="9.140625" style="110"/>
    <col min="16145" max="16145" width="12.85546875" style="110" customWidth="1"/>
    <col min="16146" max="16146" width="9.140625" style="110"/>
    <col min="16147" max="16147" width="14.28515625" style="110" customWidth="1"/>
    <col min="16148" max="16149" width="9.140625" style="110"/>
    <col min="16150" max="16150" width="13.7109375" style="110" customWidth="1"/>
    <col min="16151" max="16155" width="9.140625" style="110"/>
    <col min="16156" max="16156" width="24.28515625" style="110" customWidth="1"/>
    <col min="16157" max="16157" width="9.140625" style="110"/>
    <col min="16158" max="16159" width="13" style="110" customWidth="1"/>
    <col min="16160" max="16160" width="9.140625" style="110"/>
    <col min="16161" max="16161" width="11.140625" style="110" customWidth="1"/>
    <col min="16162" max="16384" width="9.140625" style="110"/>
  </cols>
  <sheetData>
    <row r="1" spans="1:7" s="104" customFormat="1" ht="77.25" thickBot="1">
      <c r="A1" s="100" t="s">
        <v>366</v>
      </c>
      <c r="B1" s="101" t="s">
        <v>367</v>
      </c>
      <c r="C1" s="102" t="s">
        <v>368</v>
      </c>
      <c r="D1" s="102" t="s">
        <v>369</v>
      </c>
      <c r="E1" s="103" t="s">
        <v>370</v>
      </c>
      <c r="F1" s="103" t="s">
        <v>371</v>
      </c>
      <c r="G1" s="103" t="s">
        <v>372</v>
      </c>
    </row>
    <row r="2" spans="1:7" ht="13.5" thickBot="1">
      <c r="A2" s="105">
        <v>1</v>
      </c>
      <c r="B2" s="106">
        <v>1210</v>
      </c>
      <c r="C2" s="106">
        <f>SavingsFrac!E7</f>
        <v>1064</v>
      </c>
      <c r="D2" s="107">
        <f>SUMIF($D$10:$D$138,$A2,$F$10:$F$138)</f>
        <v>0.29595280644252453</v>
      </c>
      <c r="E2" s="108"/>
      <c r="F2" s="107"/>
      <c r="G2" s="109"/>
    </row>
    <row r="3" spans="1:7" ht="13.5" thickBot="1">
      <c r="A3" s="111">
        <v>2</v>
      </c>
      <c r="B3" s="112">
        <v>1320</v>
      </c>
      <c r="C3" s="112">
        <f>SavingsFrac!E6</f>
        <v>1120</v>
      </c>
      <c r="D3" s="107">
        <f>SUMIF($D$10:$D$138,$A3,$F$10:$F$138)</f>
        <v>0.36679483897852466</v>
      </c>
      <c r="E3" s="108">
        <f>SUMPRODUCT(B2:B6,D2:D6)</f>
        <v>1324.0349474999484</v>
      </c>
      <c r="F3" s="108">
        <f>SUMPRODUCT(C2:C6,D2:D6)</f>
        <v>1107.3776212117712</v>
      </c>
      <c r="G3" s="114" t="s">
        <v>177</v>
      </c>
    </row>
    <row r="4" spans="1:7">
      <c r="A4" s="111">
        <v>3</v>
      </c>
      <c r="B4" s="112">
        <v>1540</v>
      </c>
      <c r="C4" s="112">
        <f>SavingsFrac!E5</f>
        <v>1204</v>
      </c>
      <c r="D4" s="113">
        <f t="shared" ref="D4:D6" si="0">SUMIF($D$10:$D$138,$A4,$F$10:$F$138)</f>
        <v>0.23623004015185831</v>
      </c>
    </row>
    <row r="5" spans="1:7">
      <c r="A5" s="111">
        <v>4</v>
      </c>
      <c r="B5" s="112">
        <v>1700</v>
      </c>
      <c r="C5" s="112">
        <f>SavingsFrac!E3</f>
        <v>1400</v>
      </c>
      <c r="D5" s="113">
        <f t="shared" si="0"/>
        <v>6.5362065175392739E-2</v>
      </c>
    </row>
    <row r="6" spans="1:7" ht="13.5" thickBot="1">
      <c r="A6" s="115">
        <v>5</v>
      </c>
      <c r="B6" s="116">
        <v>1770</v>
      </c>
      <c r="C6" s="116">
        <f>SavingsFrac!E2</f>
        <v>1484</v>
      </c>
      <c r="D6" s="117">
        <f t="shared" si="0"/>
        <v>3.8718031755998381E-3</v>
      </c>
    </row>
    <row r="7" spans="1:7">
      <c r="A7" s="110" t="s">
        <v>373</v>
      </c>
    </row>
    <row r="8" spans="1:7">
      <c r="A8" s="118" t="s">
        <v>374</v>
      </c>
      <c r="B8" s="118"/>
      <c r="C8" s="118"/>
      <c r="F8" s="118"/>
      <c r="G8" s="118" t="s">
        <v>374</v>
      </c>
    </row>
    <row r="9" spans="1:7" ht="43.5" customHeight="1">
      <c r="A9" s="119" t="s">
        <v>375</v>
      </c>
      <c r="B9" s="119" t="s">
        <v>376</v>
      </c>
      <c r="C9" s="119" t="s">
        <v>177</v>
      </c>
      <c r="D9" s="119" t="s">
        <v>377</v>
      </c>
      <c r="E9" s="119" t="s">
        <v>378</v>
      </c>
      <c r="F9" s="120" t="s">
        <v>369</v>
      </c>
    </row>
    <row r="10" spans="1:7">
      <c r="A10" s="122" t="s">
        <v>381</v>
      </c>
      <c r="B10" s="122" t="s">
        <v>382</v>
      </c>
      <c r="C10" s="112">
        <f>IFERROR(VLOOKUP(CONCATENATE(A10," County, ",B10),'[4]PNW climtate zones'!A$15:B$145,2,FALSE),"")</f>
        <v>71863</v>
      </c>
      <c r="D10" s="122">
        <v>1</v>
      </c>
      <c r="E10" s="122">
        <f t="shared" ref="E10:E41" si="1">IF(D10=1,B$2)+IF(D10=2,B$3)+IF(D10=3,B$4)+IF(D10=4,B$5)+IF(D10=5,B$6)</f>
        <v>1210</v>
      </c>
      <c r="F10" s="123">
        <f>C10/C$139</f>
        <v>5.6459769811515832E-3</v>
      </c>
    </row>
    <row r="11" spans="1:7">
      <c r="A11" s="122" t="s">
        <v>391</v>
      </c>
      <c r="B11" s="122" t="s">
        <v>382</v>
      </c>
      <c r="C11" s="112">
        <f>IFERROR(VLOOKUP(CONCATENATE(A11," County, ",B11),'[4]PNW climtate zones'!A$15:B$145,2,FALSE),"")</f>
        <v>71692</v>
      </c>
      <c r="D11" s="122">
        <v>1</v>
      </c>
      <c r="E11" s="122">
        <f t="shared" si="1"/>
        <v>1210</v>
      </c>
      <c r="F11" s="123">
        <f t="shared" ref="F11:F73" si="2">C11/C$139</f>
        <v>5.6325422224610625E-3</v>
      </c>
    </row>
    <row r="12" spans="1:7">
      <c r="A12" s="122" t="s">
        <v>384</v>
      </c>
      <c r="B12" s="122" t="s">
        <v>382</v>
      </c>
      <c r="C12" s="112">
        <f>IFERROR(VLOOKUP(CONCATENATE(A12," County, ",B12),'[4]PNW climtate zones'!A$15:B$145,2,FALSE),"")</f>
        <v>2007440</v>
      </c>
      <c r="D12" s="122">
        <v>1</v>
      </c>
      <c r="E12" s="122">
        <f t="shared" si="1"/>
        <v>1210</v>
      </c>
      <c r="F12" s="123">
        <f t="shared" si="2"/>
        <v>0.15771621044268866</v>
      </c>
    </row>
    <row r="13" spans="1:7">
      <c r="A13" s="122" t="s">
        <v>386</v>
      </c>
      <c r="B13" s="122" t="s">
        <v>382</v>
      </c>
      <c r="C13" s="112">
        <f>IFERROR(VLOOKUP(CONCATENATE(A13," County, ",B13),'[4]PNW climtate zones'!A$15:B$145,2,FALSE),"")</f>
        <v>254991</v>
      </c>
      <c r="D13" s="122">
        <v>1</v>
      </c>
      <c r="E13" s="122">
        <f t="shared" si="1"/>
        <v>1210</v>
      </c>
      <c r="F13" s="123">
        <f t="shared" si="2"/>
        <v>2.0033582182775886E-2</v>
      </c>
    </row>
    <row r="14" spans="1:7">
      <c r="A14" s="122" t="s">
        <v>389</v>
      </c>
      <c r="B14" s="122" t="s">
        <v>382</v>
      </c>
      <c r="C14" s="112">
        <f>IFERROR(VLOOKUP(CONCATENATE(A14," County, ",B14),'[4]PNW climtate zones'!A$15:B$145,2,FALSE),"")</f>
        <v>60832</v>
      </c>
      <c r="D14" s="122">
        <v>1</v>
      </c>
      <c r="E14" s="122">
        <f t="shared" si="1"/>
        <v>1210</v>
      </c>
      <c r="F14" s="123">
        <f t="shared" si="2"/>
        <v>4.7793171968525264E-3</v>
      </c>
    </row>
    <row r="15" spans="1:7">
      <c r="A15" s="122" t="s">
        <v>390</v>
      </c>
      <c r="B15" s="122" t="s">
        <v>382</v>
      </c>
      <c r="C15" s="112">
        <f>IFERROR(VLOOKUP(CONCATENATE(A15," County, ",B15),'[4]PNW climtate zones'!A$15:B$145,2,FALSE),"")</f>
        <v>20575</v>
      </c>
      <c r="D15" s="122">
        <v>1</v>
      </c>
      <c r="E15" s="122">
        <f t="shared" si="1"/>
        <v>1210</v>
      </c>
      <c r="F15" s="123">
        <f t="shared" si="2"/>
        <v>1.6164921640787866E-3</v>
      </c>
    </row>
    <row r="16" spans="1:7">
      <c r="A16" s="122" t="s">
        <v>392</v>
      </c>
      <c r="B16" s="122" t="s">
        <v>382</v>
      </c>
      <c r="C16" s="112">
        <f>IFERROR(VLOOKUP(CONCATENATE(A16," County, ",B16),'[4]PNW climtate zones'!A$15:B$145,2,FALSE),"")</f>
        <v>811681</v>
      </c>
      <c r="D16" s="122">
        <v>1</v>
      </c>
      <c r="E16" s="122">
        <f t="shared" si="1"/>
        <v>1210</v>
      </c>
      <c r="F16" s="123">
        <f t="shared" si="2"/>
        <v>6.3770399816847317E-2</v>
      </c>
    </row>
    <row r="17" spans="1:6">
      <c r="A17" s="122" t="s">
        <v>393</v>
      </c>
      <c r="B17" s="122" t="s">
        <v>382</v>
      </c>
      <c r="C17" s="112">
        <f>IFERROR(VLOOKUP(CONCATENATE(A17," County, ",B17),'[4]PNW climtate zones'!A$15:B$145,2,FALSE),"")</f>
        <v>258332</v>
      </c>
      <c r="D17" s="122">
        <v>1</v>
      </c>
      <c r="E17" s="122">
        <f t="shared" si="1"/>
        <v>1210</v>
      </c>
      <c r="F17" s="123">
        <f t="shared" si="2"/>
        <v>2.0296070655202968E-2</v>
      </c>
    </row>
    <row r="18" spans="1:6">
      <c r="A18" s="122" t="s">
        <v>394</v>
      </c>
      <c r="B18" s="122" t="s">
        <v>382</v>
      </c>
      <c r="C18" s="112">
        <f>IFERROR(VLOOKUP(CONCATENATE(A18," County, ",B18),'[4]PNW climtate zones'!A$15:B$145,2,FALSE),"")</f>
        <v>3993</v>
      </c>
      <c r="D18" s="122">
        <v>1</v>
      </c>
      <c r="E18" s="122">
        <f t="shared" si="1"/>
        <v>1210</v>
      </c>
      <c r="F18" s="123">
        <f t="shared" si="2"/>
        <v>3.1371340029971294E-4</v>
      </c>
    </row>
    <row r="19" spans="1:6">
      <c r="A19" s="122" t="s">
        <v>387</v>
      </c>
      <c r="B19" s="122" t="s">
        <v>388</v>
      </c>
      <c r="C19" s="112">
        <f>IFERROR(VLOOKUP(CONCATENATE(A19," County, ",B19),'[4]PNW climtate zones'!A$15:B$145,2,FALSE),"")</f>
        <v>37301</v>
      </c>
      <c r="D19" s="122">
        <v>1</v>
      </c>
      <c r="E19" s="122">
        <f t="shared" si="1"/>
        <v>1210</v>
      </c>
      <c r="F19" s="123">
        <f t="shared" si="2"/>
        <v>2.9305844088604043E-3</v>
      </c>
    </row>
    <row r="20" spans="1:6">
      <c r="A20" s="122" t="s">
        <v>395</v>
      </c>
      <c r="B20" s="122" t="s">
        <v>396</v>
      </c>
      <c r="C20" s="112">
        <f>IFERROR(VLOOKUP(CONCATENATE(A20," County, ",B20),'[4]PNW climtate zones'!A$15:B$145,2,FALSE),"")</f>
        <v>12702</v>
      </c>
      <c r="D20" s="122">
        <v>1</v>
      </c>
      <c r="E20" s="122">
        <f t="shared" si="1"/>
        <v>1210</v>
      </c>
      <c r="F20" s="123">
        <f t="shared" si="2"/>
        <v>9.9794330343274578E-4</v>
      </c>
    </row>
    <row r="21" spans="1:6">
      <c r="A21" s="121" t="s">
        <v>379</v>
      </c>
      <c r="B21" s="122" t="s">
        <v>380</v>
      </c>
      <c r="C21" s="112">
        <f>IFERROR(VLOOKUP(CONCATENATE(A21," County, ",B21),'[4]PNW climtate zones'!A$15:B$145,2,FALSE),"")</f>
        <v>28986</v>
      </c>
      <c r="D21" s="122">
        <v>1</v>
      </c>
      <c r="E21" s="122">
        <f t="shared" si="1"/>
        <v>1210</v>
      </c>
      <c r="F21" s="123">
        <f t="shared" si="2"/>
        <v>2.2773094468037766E-3</v>
      </c>
    </row>
    <row r="22" spans="1:6">
      <c r="A22" s="122" t="s">
        <v>383</v>
      </c>
      <c r="B22" s="122" t="s">
        <v>380</v>
      </c>
      <c r="C22" s="112">
        <f>IFERROR(VLOOKUP(CONCATENATE(A22," County, ",B22),'[4]PNW climtate zones'!A$15:B$145,2,FALSE),"")</f>
        <v>4167</v>
      </c>
      <c r="D22" s="122">
        <v>1</v>
      </c>
      <c r="E22" s="122">
        <f t="shared" si="1"/>
        <v>1210</v>
      </c>
      <c r="F22" s="123">
        <f t="shared" si="2"/>
        <v>3.2738385651112043E-4</v>
      </c>
    </row>
    <row r="23" spans="1:6">
      <c r="A23" s="122" t="s">
        <v>182</v>
      </c>
      <c r="B23" s="122" t="s">
        <v>380</v>
      </c>
      <c r="C23" s="112">
        <f>IFERROR(VLOOKUP(CONCATENATE(A23," County, ",B23),'[4]PNW climtate zones'!A$15:B$145,2,FALSE),"")</f>
        <v>110977</v>
      </c>
      <c r="D23" s="122">
        <v>1</v>
      </c>
      <c r="E23" s="122">
        <f t="shared" si="1"/>
        <v>1210</v>
      </c>
      <c r="F23" s="123">
        <f t="shared" si="2"/>
        <v>8.7190012584676298E-3</v>
      </c>
    </row>
    <row r="24" spans="1:6">
      <c r="A24" s="122" t="s">
        <v>385</v>
      </c>
      <c r="B24" s="122" t="s">
        <v>380</v>
      </c>
      <c r="C24" s="112">
        <f>IFERROR(VLOOKUP(CONCATENATE(A24," County, ",B24),'[4]PNW climtate zones'!A$15:B$145,2,FALSE),"")</f>
        <v>11408</v>
      </c>
      <c r="D24" s="122">
        <v>1</v>
      </c>
      <c r="E24" s="122">
        <f t="shared" si="1"/>
        <v>1210</v>
      </c>
      <c r="F24" s="123">
        <f t="shared" si="2"/>
        <v>8.9627910609043964E-4</v>
      </c>
    </row>
    <row r="25" spans="1:6">
      <c r="A25" s="122" t="s">
        <v>398</v>
      </c>
      <c r="B25" s="122" t="s">
        <v>382</v>
      </c>
      <c r="C25" s="112">
        <f>IFERROR(VLOOKUP(CONCATENATE(A25," County, ",B25),'[4]PNW climtate zones'!A$15:B$145,2,FALSE),"")</f>
        <v>438287</v>
      </c>
      <c r="D25" s="122">
        <v>2</v>
      </c>
      <c r="E25" s="122">
        <f t="shared" si="1"/>
        <v>1320</v>
      </c>
      <c r="F25" s="123">
        <f t="shared" si="2"/>
        <v>3.4434386445569821E-2</v>
      </c>
    </row>
    <row r="26" spans="1:6">
      <c r="A26" s="122" t="s">
        <v>400</v>
      </c>
      <c r="B26" s="122" t="s">
        <v>382</v>
      </c>
      <c r="C26" s="112">
        <f>IFERROR(VLOOKUP(CONCATENATE(A26," County, ",B26),'[4]PNW climtate zones'!A$15:B$145,2,FALSE),"")</f>
        <v>101996</v>
      </c>
      <c r="D26" s="122">
        <v>2</v>
      </c>
      <c r="E26" s="122">
        <f t="shared" si="1"/>
        <v>1320</v>
      </c>
      <c r="F26" s="123">
        <f t="shared" si="2"/>
        <v>8.0134014467742355E-3</v>
      </c>
    </row>
    <row r="27" spans="1:6">
      <c r="A27" s="122" t="s">
        <v>402</v>
      </c>
      <c r="B27" s="122" t="s">
        <v>382</v>
      </c>
      <c r="C27" s="112">
        <f>IFERROR(VLOOKUP(CONCATENATE(A27," County, ",B27),'[4]PNW climtate zones'!A$15:B$145,2,FALSE),"")</f>
        <v>79177</v>
      </c>
      <c r="D27" s="122">
        <v>2</v>
      </c>
      <c r="E27" s="122">
        <f t="shared" si="1"/>
        <v>1320</v>
      </c>
      <c r="F27" s="123">
        <f t="shared" si="2"/>
        <v>6.2206075370724702E-3</v>
      </c>
    </row>
    <row r="28" spans="1:6">
      <c r="A28" s="122" t="s">
        <v>404</v>
      </c>
      <c r="B28" s="122" t="s">
        <v>382</v>
      </c>
      <c r="C28" s="112">
        <f>IFERROR(VLOOKUP(CONCATENATE(A28," County, ",B28),'[4]PNW climtate zones'!A$15:B$145,2,FALSE),"")</f>
        <v>75621</v>
      </c>
      <c r="D28" s="122">
        <v>2</v>
      </c>
      <c r="E28" s="122">
        <f t="shared" si="1"/>
        <v>1320</v>
      </c>
      <c r="F28" s="123">
        <f t="shared" si="2"/>
        <v>5.9412274089818669E-3</v>
      </c>
    </row>
    <row r="29" spans="1:6">
      <c r="A29" s="122" t="s">
        <v>406</v>
      </c>
      <c r="B29" s="122" t="s">
        <v>382</v>
      </c>
      <c r="C29" s="112">
        <f>IFERROR(VLOOKUP(CONCATENATE(A29," County, ",B29),'[4]PNW climtate zones'!A$15:B$145,2,FALSE),"")</f>
        <v>15824</v>
      </c>
      <c r="D29" s="122">
        <v>2</v>
      </c>
      <c r="E29" s="122">
        <f t="shared" si="1"/>
        <v>1320</v>
      </c>
      <c r="F29" s="123">
        <f t="shared" si="2"/>
        <v>1.243225856835126E-3</v>
      </c>
    </row>
    <row r="30" spans="1:6">
      <c r="A30" s="122" t="s">
        <v>408</v>
      </c>
      <c r="B30" s="122" t="s">
        <v>382</v>
      </c>
      <c r="C30" s="112">
        <f>IFERROR(VLOOKUP(CONCATENATE(A30," County, ",B30),'[4]PNW climtate zones'!A$15:B$145,2,FALSE),"")</f>
        <v>118222</v>
      </c>
      <c r="D30" s="122">
        <v>2</v>
      </c>
      <c r="E30" s="122">
        <f t="shared" si="1"/>
        <v>1320</v>
      </c>
      <c r="F30" s="123">
        <f t="shared" si="2"/>
        <v>9.2882107714081317E-3</v>
      </c>
    </row>
    <row r="31" spans="1:6">
      <c r="A31" s="122" t="s">
        <v>410</v>
      </c>
      <c r="B31" s="122" t="s">
        <v>382</v>
      </c>
      <c r="C31" s="112">
        <f>IFERROR(VLOOKUP(CONCATENATE(A31," County, ",B31),'[4]PNW climtate zones'!A$15:B$145,2,FALSE),"")</f>
        <v>11187</v>
      </c>
      <c r="D31" s="122">
        <v>2</v>
      </c>
      <c r="E31" s="122">
        <f t="shared" si="1"/>
        <v>1320</v>
      </c>
      <c r="F31" s="123">
        <f t="shared" si="2"/>
        <v>8.7891605538514622E-4</v>
      </c>
    </row>
    <row r="32" spans="1:6">
      <c r="A32" s="122" t="s">
        <v>412</v>
      </c>
      <c r="B32" s="122" t="s">
        <v>382</v>
      </c>
      <c r="C32" s="112">
        <f>IFERROR(VLOOKUP(CONCATENATE(A32," County, ",B32),'[4]PNW climtate zones'!A$15:B$145,2,FALSE),"")</f>
        <v>733036</v>
      </c>
      <c r="D32" s="122">
        <v>2</v>
      </c>
      <c r="E32" s="122">
        <f t="shared" si="1"/>
        <v>1320</v>
      </c>
      <c r="F32" s="123">
        <f t="shared" si="2"/>
        <v>5.7591589306812019E-2</v>
      </c>
    </row>
    <row r="33" spans="1:6">
      <c r="A33" s="122" t="s">
        <v>414</v>
      </c>
      <c r="B33" s="122" t="s">
        <v>382</v>
      </c>
      <c r="C33" s="112">
        <f>IFERROR(VLOOKUP(CONCATENATE(A33," County, ",B33),'[4]PNW climtate zones'!A$15:B$145,2,FALSE),"")</f>
        <v>205262</v>
      </c>
      <c r="D33" s="122">
        <v>2</v>
      </c>
      <c r="E33" s="122">
        <f t="shared" si="1"/>
        <v>1320</v>
      </c>
      <c r="F33" s="123">
        <f t="shared" si="2"/>
        <v>1.6126581510723687E-2</v>
      </c>
    </row>
    <row r="34" spans="1:6">
      <c r="A34" s="122" t="s">
        <v>397</v>
      </c>
      <c r="B34" s="122" t="s">
        <v>388</v>
      </c>
      <c r="C34" s="112">
        <f>IFERROR(VLOOKUP(CONCATENATE(A34," County, ",B34),'[4]PNW climtate zones'!A$15:B$145,2,FALSE),"")</f>
        <v>86430</v>
      </c>
      <c r="D34" s="122">
        <v>2</v>
      </c>
      <c r="E34" s="122">
        <f t="shared" si="1"/>
        <v>1320</v>
      </c>
      <c r="F34" s="123">
        <f t="shared" si="2"/>
        <v>6.7904455767353348E-3</v>
      </c>
    </row>
    <row r="35" spans="1:6">
      <c r="A35" s="122" t="s">
        <v>399</v>
      </c>
      <c r="B35" s="122" t="s">
        <v>388</v>
      </c>
      <c r="C35" s="112">
        <f>IFERROR(VLOOKUP(CONCATENATE(A35," County, ",B35),'[4]PNW climtate zones'!A$15:B$145,2,FALSE),"")</f>
        <v>383857</v>
      </c>
      <c r="D35" s="122">
        <v>2</v>
      </c>
      <c r="E35" s="122">
        <f t="shared" si="1"/>
        <v>1320</v>
      </c>
      <c r="F35" s="123">
        <f t="shared" si="2"/>
        <v>3.0158047758288734E-2</v>
      </c>
    </row>
    <row r="36" spans="1:6">
      <c r="A36" s="122" t="s">
        <v>401</v>
      </c>
      <c r="B36" s="122" t="s">
        <v>388</v>
      </c>
      <c r="C36" s="112">
        <f>IFERROR(VLOOKUP(CONCATENATE(A36," County, ",B36),'[4]PNW climtate zones'!A$15:B$145,2,FALSE),"")</f>
        <v>49286</v>
      </c>
      <c r="D36" s="122">
        <v>2</v>
      </c>
      <c r="E36" s="122">
        <f t="shared" si="1"/>
        <v>1320</v>
      </c>
      <c r="F36" s="123">
        <f t="shared" si="2"/>
        <v>3.8721960048013157E-3</v>
      </c>
    </row>
    <row r="37" spans="1:6">
      <c r="A37" s="122" t="s">
        <v>403</v>
      </c>
      <c r="B37" s="122" t="s">
        <v>388</v>
      </c>
      <c r="C37" s="112">
        <f>IFERROR(VLOOKUP(CONCATENATE(A37," County, ",B37),'[4]PNW climtate zones'!A$15:B$145,2,FALSE),"")</f>
        <v>22584</v>
      </c>
      <c r="D37" s="122">
        <v>2</v>
      </c>
      <c r="E37" s="122">
        <f t="shared" si="1"/>
        <v>1320</v>
      </c>
      <c r="F37" s="123">
        <f t="shared" si="2"/>
        <v>1.774330937232336E-3</v>
      </c>
    </row>
    <row r="38" spans="1:6">
      <c r="A38" s="122" t="s">
        <v>405</v>
      </c>
      <c r="B38" s="122" t="s">
        <v>388</v>
      </c>
      <c r="C38" s="112">
        <f>IFERROR(VLOOKUP(CONCATENATE(A38," County, ",B38),'[4]PNW climtate zones'!A$15:B$145,2,FALSE),"")</f>
        <v>354542</v>
      </c>
      <c r="D38" s="122">
        <v>2</v>
      </c>
      <c r="E38" s="122">
        <f t="shared" si="1"/>
        <v>1320</v>
      </c>
      <c r="F38" s="123">
        <f t="shared" si="2"/>
        <v>2.7854890150027758E-2</v>
      </c>
    </row>
    <row r="39" spans="1:6">
      <c r="A39" s="122" t="s">
        <v>407</v>
      </c>
      <c r="B39" s="122" t="s">
        <v>388</v>
      </c>
      <c r="C39" s="112">
        <f>IFERROR(VLOOKUP(CONCATENATE(A39," County, ",B39),'[4]PNW climtate zones'!A$15:B$145,2,FALSE),"")</f>
        <v>46151</v>
      </c>
      <c r="D39" s="122">
        <v>2</v>
      </c>
      <c r="E39" s="122">
        <f t="shared" si="1"/>
        <v>1320</v>
      </c>
      <c r="F39" s="123">
        <f t="shared" si="2"/>
        <v>3.6258920954750948E-3</v>
      </c>
    </row>
    <row r="40" spans="1:6">
      <c r="A40" s="122" t="s">
        <v>409</v>
      </c>
      <c r="B40" s="122" t="s">
        <v>388</v>
      </c>
      <c r="C40" s="112">
        <f>IFERROR(VLOOKUP(CONCATENATE(A40," County, ",B40),'[4]PNW climtate zones'!A$15:B$145,2,FALSE),"")</f>
        <v>118360</v>
      </c>
      <c r="D40" s="122">
        <v>2</v>
      </c>
      <c r="E40" s="122">
        <f t="shared" si="1"/>
        <v>1320</v>
      </c>
      <c r="F40" s="123">
        <f t="shared" si="2"/>
        <v>9.2990528573689019E-3</v>
      </c>
    </row>
    <row r="41" spans="1:6">
      <c r="A41" s="122" t="s">
        <v>411</v>
      </c>
      <c r="B41" s="122" t="s">
        <v>388</v>
      </c>
      <c r="C41" s="112">
        <f>IFERROR(VLOOKUP(CONCATENATE(A41," County, ",B41),'[4]PNW climtate zones'!A$15:B$145,2,FALSE),"")</f>
        <v>319985</v>
      </c>
      <c r="D41" s="122">
        <v>2</v>
      </c>
      <c r="E41" s="122">
        <f t="shared" si="1"/>
        <v>1320</v>
      </c>
      <c r="F41" s="123">
        <f t="shared" si="2"/>
        <v>2.5139890406938054E-2</v>
      </c>
    </row>
    <row r="42" spans="1:6">
      <c r="A42" s="122" t="s">
        <v>413</v>
      </c>
      <c r="B42" s="122" t="s">
        <v>388</v>
      </c>
      <c r="C42" s="112">
        <f>IFERROR(VLOOKUP(CONCATENATE(A42," County, ",B42),'[4]PNW climtate zones'!A$15:B$145,2,FALSE),"")</f>
        <v>759256</v>
      </c>
      <c r="D42" s="122">
        <v>2</v>
      </c>
      <c r="E42" s="122">
        <f t="shared" ref="E42:E73" si="3">IF(D42=1,B$2)+IF(D42=2,B$3)+IF(D42=3,B$4)+IF(D42=4,B$5)+IF(D42=5,B$6)</f>
        <v>1320</v>
      </c>
      <c r="F42" s="123">
        <f t="shared" si="2"/>
        <v>5.9651585639358594E-2</v>
      </c>
    </row>
    <row r="43" spans="1:6">
      <c r="A43" s="122" t="s">
        <v>415</v>
      </c>
      <c r="B43" s="122" t="s">
        <v>388</v>
      </c>
      <c r="C43" s="112">
        <f>IFERROR(VLOOKUP(CONCATENATE(A43," County, ",B43),'[4]PNW climtate zones'!A$15:B$145,2,FALSE),"")</f>
        <v>76353</v>
      </c>
      <c r="D43" s="122">
        <v>2</v>
      </c>
      <c r="E43" s="122">
        <f t="shared" si="3"/>
        <v>1320</v>
      </c>
      <c r="F43" s="123">
        <f t="shared" si="2"/>
        <v>5.9987376040781326E-3</v>
      </c>
    </row>
    <row r="44" spans="1:6">
      <c r="A44" s="122" t="s">
        <v>416</v>
      </c>
      <c r="B44" s="122" t="s">
        <v>388</v>
      </c>
      <c r="C44" s="112">
        <f>IFERROR(VLOOKUP(CONCATENATE(A44," County, ",B44),'[4]PNW climtate zones'!A$15:B$145,2,FALSE),"")</f>
        <v>25287</v>
      </c>
      <c r="D44" s="122">
        <v>2</v>
      </c>
      <c r="E44" s="122">
        <f t="shared" si="3"/>
        <v>1320</v>
      </c>
      <c r="F44" s="123">
        <f t="shared" si="2"/>
        <v>1.9866944035509247E-3</v>
      </c>
    </row>
    <row r="45" spans="1:6">
      <c r="A45" s="122" t="s">
        <v>417</v>
      </c>
      <c r="B45" s="122" t="s">
        <v>388</v>
      </c>
      <c r="C45" s="112">
        <f>IFERROR(VLOOKUP(CONCATENATE(A45," County, ",B45),'[4]PNW climtate zones'!A$15:B$145,2,FALSE),"")</f>
        <v>547672</v>
      </c>
      <c r="D45" s="122">
        <v>2</v>
      </c>
      <c r="E45" s="122">
        <f t="shared" si="3"/>
        <v>1320</v>
      </c>
      <c r="F45" s="123">
        <f t="shared" si="2"/>
        <v>4.3028310886287099E-2</v>
      </c>
    </row>
    <row r="46" spans="1:6">
      <c r="A46" s="122" t="s">
        <v>418</v>
      </c>
      <c r="B46" s="122" t="s">
        <v>388</v>
      </c>
      <c r="C46" s="112">
        <f>IFERROR(VLOOKUP(CONCATENATE(A46," County, ",B46),'[4]PNW climtate zones'!A$15:B$145,2,FALSE),"")</f>
        <v>100255</v>
      </c>
      <c r="D46" s="122">
        <v>2</v>
      </c>
      <c r="E46" s="122">
        <f t="shared" si="3"/>
        <v>1320</v>
      </c>
      <c r="F46" s="123">
        <f t="shared" si="2"/>
        <v>7.8766183188198665E-3</v>
      </c>
    </row>
    <row r="47" spans="1:6">
      <c r="A47" s="125" t="s">
        <v>492</v>
      </c>
      <c r="B47" s="122" t="s">
        <v>396</v>
      </c>
      <c r="C47" s="112">
        <f>IFERROR(VLOOKUP(A47,'[4]PNW climtate zones'!A$15:B$146,2,FALSE),"")</f>
        <v>5907</v>
      </c>
      <c r="D47" s="122">
        <v>3</v>
      </c>
      <c r="E47" s="122">
        <f t="shared" si="3"/>
        <v>1540</v>
      </c>
      <c r="F47" s="123">
        <f t="shared" si="2"/>
        <v>4.640884186251952E-4</v>
      </c>
    </row>
    <row r="48" spans="1:6">
      <c r="A48" s="122" t="s">
        <v>419</v>
      </c>
      <c r="B48" s="122" t="s">
        <v>396</v>
      </c>
      <c r="C48" s="112">
        <f>IFERROR(VLOOKUP(CONCATENATE(A48," County, ",B48),'[4]PNW climtate zones'!A$15:B$145,2,FALSE),"")</f>
        <v>9117</v>
      </c>
      <c r="D48" s="122">
        <v>3</v>
      </c>
      <c r="E48" s="122">
        <f t="shared" si="3"/>
        <v>1540</v>
      </c>
      <c r="F48" s="123">
        <f t="shared" si="2"/>
        <v>7.1628476597357458E-4</v>
      </c>
    </row>
    <row r="49" spans="1:6">
      <c r="A49" s="122" t="s">
        <v>420</v>
      </c>
      <c r="B49" s="122" t="s">
        <v>396</v>
      </c>
      <c r="C49" s="112">
        <f>IFERROR(VLOOKUP(CONCATENATE(A49," County, ",B49),'[4]PNW climtate zones'!A$15:B$145,2,FALSE),"")</f>
        <v>40476</v>
      </c>
      <c r="D49" s="122">
        <v>3</v>
      </c>
      <c r="E49" s="122">
        <f t="shared" si="3"/>
        <v>1540</v>
      </c>
      <c r="F49" s="123">
        <f t="shared" si="2"/>
        <v>3.1800309517984429E-3</v>
      </c>
    </row>
    <row r="50" spans="1:6">
      <c r="A50" s="122" t="s">
        <v>421</v>
      </c>
      <c r="B50" s="122" t="s">
        <v>396</v>
      </c>
      <c r="C50" s="112">
        <f>IFERROR(VLOOKUP(CONCATENATE(A50," County, ",B50),'[4]PNW climtate zones'!A$15:B$145,2,FALSE),"")</f>
        <v>106684</v>
      </c>
      <c r="D50" s="122">
        <v>3</v>
      </c>
      <c r="E50" s="122">
        <f t="shared" si="3"/>
        <v>1540</v>
      </c>
      <c r="F50" s="123">
        <f t="shared" si="2"/>
        <v>8.3817181060792841E-3</v>
      </c>
    </row>
    <row r="51" spans="1:6">
      <c r="A51" s="122" t="s">
        <v>422</v>
      </c>
      <c r="B51" s="122" t="s">
        <v>396</v>
      </c>
      <c r="C51" s="112">
        <f>IFERROR(VLOOKUP(CONCATENATE(A51," County, ",B51),'[4]PNW climtate zones'!A$15:B$145,2,FALSE),"")</f>
        <v>0</v>
      </c>
      <c r="D51" s="122">
        <v>3</v>
      </c>
      <c r="E51" s="122">
        <f t="shared" si="3"/>
        <v>1540</v>
      </c>
      <c r="F51" s="123">
        <f t="shared" si="2"/>
        <v>0</v>
      </c>
    </row>
    <row r="52" spans="1:6">
      <c r="A52" s="122" t="s">
        <v>398</v>
      </c>
      <c r="B52" s="122" t="s">
        <v>396</v>
      </c>
      <c r="C52" s="112">
        <f>IFERROR(VLOOKUP(CONCATENATE(A52," County, ",B52),'[4]PNW climtate zones'!A$15:B$145,2,FALSE),"")</f>
        <v>869</v>
      </c>
      <c r="D52" s="122">
        <v>3</v>
      </c>
      <c r="E52" s="122">
        <f t="shared" si="3"/>
        <v>1540</v>
      </c>
      <c r="F52" s="123">
        <f t="shared" si="2"/>
        <v>6.8273715216741939E-5</v>
      </c>
    </row>
    <row r="53" spans="1:6">
      <c r="A53" s="122" t="s">
        <v>423</v>
      </c>
      <c r="B53" s="122" t="s">
        <v>396</v>
      </c>
      <c r="C53" s="112">
        <f>IFERROR(VLOOKUP(CONCATENATE(A53," County, ",B53),'[4]PNW climtate zones'!A$15:B$145,2,FALSE),"")</f>
        <v>8590</v>
      </c>
      <c r="D53" s="122">
        <v>3</v>
      </c>
      <c r="E53" s="122">
        <f t="shared" si="3"/>
        <v>1540</v>
      </c>
      <c r="F53" s="123">
        <f t="shared" si="2"/>
        <v>6.7488056813787484E-4</v>
      </c>
    </row>
    <row r="54" spans="1:6">
      <c r="A54" s="122" t="s">
        <v>424</v>
      </c>
      <c r="B54" s="122" t="s">
        <v>396</v>
      </c>
      <c r="C54" s="112">
        <f>IFERROR(VLOOKUP(CONCATENATE(A54," County, ",B54),'[4]PNW climtate zones'!A$15:B$145,2,FALSE),"")</f>
        <v>12786</v>
      </c>
      <c r="D54" s="122">
        <v>3</v>
      </c>
      <c r="E54" s="122">
        <f t="shared" si="3"/>
        <v>1540</v>
      </c>
      <c r="F54" s="123">
        <f t="shared" si="2"/>
        <v>1.0045428340175633E-3</v>
      </c>
    </row>
    <row r="55" spans="1:6">
      <c r="A55" s="122" t="s">
        <v>425</v>
      </c>
      <c r="B55" s="122" t="s">
        <v>396</v>
      </c>
      <c r="C55" s="112">
        <f>IFERROR(VLOOKUP(CONCATENATE(A55," County, ",B55),'[4]PNW climtate zones'!A$15:B$145,2,FALSE),"")</f>
        <v>12957</v>
      </c>
      <c r="D55" s="122">
        <v>3</v>
      </c>
      <c r="E55" s="122">
        <f t="shared" si="3"/>
        <v>1540</v>
      </c>
      <c r="F55" s="123">
        <f t="shared" si="2"/>
        <v>1.0179775927080844E-3</v>
      </c>
    </row>
    <row r="56" spans="1:6">
      <c r="A56" s="122" t="s">
        <v>426</v>
      </c>
      <c r="B56" s="122" t="s">
        <v>396</v>
      </c>
      <c r="C56" s="112">
        <f>IFERROR(VLOOKUP(CONCATENATE(A56," County, ",B56),'[4]PNW climtate zones'!A$15:B$145,2,FALSE),"")</f>
        <v>16308</v>
      </c>
      <c r="D56" s="122">
        <v>3</v>
      </c>
      <c r="E56" s="122">
        <f t="shared" si="3"/>
        <v>1540</v>
      </c>
      <c r="F56" s="123">
        <f t="shared" si="2"/>
        <v>1.2812517235381215E-3</v>
      </c>
    </row>
    <row r="57" spans="1:6">
      <c r="A57" s="122" t="s">
        <v>427</v>
      </c>
      <c r="B57" s="122" t="s">
        <v>396</v>
      </c>
      <c r="C57" s="112">
        <f>IFERROR(VLOOKUP(CONCATENATE(A57," County, ",B57),'[4]PNW climtate zones'!A$15:B$145,2,FALSE),"")</f>
        <v>26684</v>
      </c>
      <c r="D57" s="122">
        <v>3</v>
      </c>
      <c r="E57" s="122">
        <f t="shared" si="3"/>
        <v>1540</v>
      </c>
      <c r="F57" s="123">
        <f t="shared" si="2"/>
        <v>2.0964508824436617E-3</v>
      </c>
    </row>
    <row r="58" spans="1:6">
      <c r="A58" s="122" t="s">
        <v>428</v>
      </c>
      <c r="B58" s="122" t="s">
        <v>396</v>
      </c>
      <c r="C58" s="112">
        <f>IFERROR(VLOOKUP(CONCATENATE(A58," County, ",B58),'[4]PNW climtate zones'!A$15:B$145,2,FALSE),"")</f>
        <v>142357</v>
      </c>
      <c r="D58" s="122">
        <v>3</v>
      </c>
      <c r="E58" s="122">
        <f t="shared" si="3"/>
        <v>1540</v>
      </c>
      <c r="F58" s="123">
        <f t="shared" si="2"/>
        <v>1.1184397326938702E-2</v>
      </c>
    </row>
    <row r="59" spans="1:6">
      <c r="A59" s="122" t="s">
        <v>429</v>
      </c>
      <c r="B59" s="122" t="s">
        <v>396</v>
      </c>
      <c r="C59" s="112">
        <f>IFERROR(VLOOKUP(CONCATENATE(A59," County, ",B59),'[4]PNW climtate zones'!A$15:B$145,2,FALSE),"")</f>
        <v>38184</v>
      </c>
      <c r="D59" s="122">
        <v>3</v>
      </c>
      <c r="E59" s="122">
        <f t="shared" si="3"/>
        <v>1540</v>
      </c>
      <c r="F59" s="123">
        <f t="shared" si="2"/>
        <v>2.9999580458412822E-3</v>
      </c>
    </row>
    <row r="60" spans="1:6">
      <c r="A60" s="122" t="s">
        <v>404</v>
      </c>
      <c r="B60" s="122" t="s">
        <v>396</v>
      </c>
      <c r="C60" s="112">
        <f>IFERROR(VLOOKUP(CONCATENATE(A60," County, ",B60),'[4]PNW climtate zones'!A$15:B$145,2,FALSE),"")</f>
        <v>3889</v>
      </c>
      <c r="D60" s="122">
        <v>3</v>
      </c>
      <c r="E60" s="122">
        <f t="shared" si="3"/>
        <v>1540</v>
      </c>
      <c r="F60" s="123">
        <f t="shared" si="2"/>
        <v>3.0554255290898667E-4</v>
      </c>
    </row>
    <row r="61" spans="1:6">
      <c r="A61" s="122" t="s">
        <v>430</v>
      </c>
      <c r="B61" s="122" t="s">
        <v>396</v>
      </c>
      <c r="C61" s="112">
        <f>IFERROR(VLOOKUP(CONCATENATE(A61," County, ",B61),'[4]PNW climtate zones'!A$15:B$145,2,FALSE),"")</f>
        <v>37456</v>
      </c>
      <c r="D61" s="122">
        <v>3</v>
      </c>
      <c r="E61" s="122">
        <f t="shared" si="3"/>
        <v>1540</v>
      </c>
      <c r="F61" s="123">
        <f t="shared" si="2"/>
        <v>2.9427621141061983E-3</v>
      </c>
    </row>
    <row r="62" spans="1:6">
      <c r="A62" s="122" t="s">
        <v>431</v>
      </c>
      <c r="B62" s="122" t="s">
        <v>396</v>
      </c>
      <c r="C62" s="112">
        <f>IFERROR(VLOOKUP(CONCATENATE(A62," County, ",B62),'[4]PNW climtate zones'!A$15:B$145,2,FALSE),"")</f>
        <v>39531</v>
      </c>
      <c r="D62" s="122">
        <v>3</v>
      </c>
      <c r="E62" s="122">
        <f t="shared" si="3"/>
        <v>1540</v>
      </c>
      <c r="F62" s="123">
        <f t="shared" si="2"/>
        <v>3.1057862327192472E-3</v>
      </c>
    </row>
    <row r="63" spans="1:6">
      <c r="A63" s="122" t="s">
        <v>432</v>
      </c>
      <c r="B63" s="122" t="s">
        <v>396</v>
      </c>
      <c r="C63" s="112">
        <f>IFERROR(VLOOKUP(CONCATENATE(A63," County, ",B63),'[4]PNW climtate zones'!A$15:B$145,2,FALSE),"")</f>
        <v>10052</v>
      </c>
      <c r="D63" s="122">
        <v>3</v>
      </c>
      <c r="E63" s="122">
        <f t="shared" si="3"/>
        <v>1540</v>
      </c>
      <c r="F63" s="123">
        <f t="shared" si="2"/>
        <v>7.8974382664981585E-4</v>
      </c>
    </row>
    <row r="64" spans="1:6">
      <c r="A64" s="125" t="s">
        <v>493</v>
      </c>
      <c r="B64" s="122" t="s">
        <v>396</v>
      </c>
      <c r="C64" s="112">
        <f>IFERROR(VLOOKUP(A64,'[4]PNW climtate zones'!A$15:B$146,2,FALSE),"")</f>
        <v>10099</v>
      </c>
      <c r="D64" s="122">
        <v>3</v>
      </c>
      <c r="E64" s="122">
        <f t="shared" si="3"/>
        <v>1540</v>
      </c>
      <c r="F64" s="123">
        <f t="shared" si="2"/>
        <v>7.9343642114370185E-4</v>
      </c>
    </row>
    <row r="65" spans="1:6">
      <c r="A65" s="122" t="s">
        <v>433</v>
      </c>
      <c r="B65" s="122" t="s">
        <v>380</v>
      </c>
      <c r="C65" s="112">
        <f>IFERROR(VLOOKUP(CONCATENATE(A65," County, ",B65),'[4]PNW climtate zones'!A$15:B$145,2,FALSE),"")</f>
        <v>9227</v>
      </c>
      <c r="D65" s="122">
        <v>3</v>
      </c>
      <c r="E65" s="122">
        <f t="shared" si="3"/>
        <v>1540</v>
      </c>
      <c r="F65" s="123">
        <f t="shared" si="2"/>
        <v>7.2492700840607347E-4</v>
      </c>
    </row>
    <row r="66" spans="1:6">
      <c r="A66" s="122" t="s">
        <v>434</v>
      </c>
      <c r="B66" s="122" t="s">
        <v>380</v>
      </c>
      <c r="C66" s="112">
        <f>IFERROR(VLOOKUP(CONCATENATE(A66," County, ",B66),'[4]PNW climtate zones'!A$15:B$145,2,FALSE),"")</f>
        <v>91633</v>
      </c>
      <c r="D66" s="122">
        <v>3</v>
      </c>
      <c r="E66" s="122">
        <f t="shared" si="3"/>
        <v>1540</v>
      </c>
      <c r="F66" s="123">
        <f t="shared" si="2"/>
        <v>7.1992236437925369E-3</v>
      </c>
    </row>
    <row r="67" spans="1:6">
      <c r="A67" s="122" t="s">
        <v>435</v>
      </c>
      <c r="B67" s="122" t="s">
        <v>380</v>
      </c>
      <c r="C67" s="112">
        <f>IFERROR(VLOOKUP(CONCATENATE(A67," County, ",B67),'[4]PNW climtate zones'!A$15:B$145,2,FALSE),"")</f>
        <v>3109</v>
      </c>
      <c r="D67" s="122">
        <v>3</v>
      </c>
      <c r="E67" s="122">
        <f t="shared" si="3"/>
        <v>1540</v>
      </c>
      <c r="F67" s="123">
        <f t="shared" si="2"/>
        <v>2.4426119747853934E-4</v>
      </c>
    </row>
    <row r="68" spans="1:6">
      <c r="A68" s="122" t="s">
        <v>436</v>
      </c>
      <c r="B68" s="122" t="s">
        <v>380</v>
      </c>
      <c r="C68" s="112">
        <f>IFERROR(VLOOKUP(CONCATENATE(A68," County, ",B68),'[4]PNW climtate zones'!A$15:B$145,2,FALSE),"")</f>
        <v>64876</v>
      </c>
      <c r="D68" s="122">
        <v>3</v>
      </c>
      <c r="E68" s="122">
        <f t="shared" si="3"/>
        <v>1540</v>
      </c>
      <c r="F68" s="123">
        <f t="shared" si="2"/>
        <v>5.0970374550073074E-3</v>
      </c>
    </row>
    <row r="69" spans="1:6">
      <c r="A69" s="122" t="s">
        <v>407</v>
      </c>
      <c r="B69" s="122" t="s">
        <v>380</v>
      </c>
      <c r="C69" s="112">
        <f>IFERROR(VLOOKUP(CONCATENATE(A69," County, ",B69),'[4]PNW climtate zones'!A$15:B$145,2,FALSE),"")</f>
        <v>19491</v>
      </c>
      <c r="D69" s="122">
        <v>3</v>
      </c>
      <c r="E69" s="122">
        <f t="shared" si="3"/>
        <v>1540</v>
      </c>
      <c r="F69" s="123">
        <f t="shared" si="2"/>
        <v>1.5313267931985237E-3</v>
      </c>
    </row>
    <row r="70" spans="1:6">
      <c r="A70" s="122" t="s">
        <v>437</v>
      </c>
      <c r="B70" s="122" t="s">
        <v>380</v>
      </c>
      <c r="C70" s="112">
        <f>IFERROR(VLOOKUP(CONCATENATE(A70," County, ",B70),'[4]PNW climtate zones'!A$15:B$145,2,FALSE),"")</f>
        <v>7096</v>
      </c>
      <c r="D70" s="122">
        <v>3</v>
      </c>
      <c r="E70" s="122">
        <f t="shared" si="3"/>
        <v>1540</v>
      </c>
      <c r="F70" s="123">
        <f t="shared" si="2"/>
        <v>5.5750320273647961E-4</v>
      </c>
    </row>
    <row r="71" spans="1:6">
      <c r="A71" s="122" t="s">
        <v>438</v>
      </c>
      <c r="B71" s="122" t="s">
        <v>380</v>
      </c>
      <c r="C71" s="112">
        <f>IFERROR(VLOOKUP(CONCATENATE(A71," County, ",B71),'[4]PNW climtate zones'!A$15:B$145,2,FALSE),"")</f>
        <v>40617</v>
      </c>
      <c r="D71" s="122">
        <v>3</v>
      </c>
      <c r="E71" s="122">
        <f t="shared" si="3"/>
        <v>1540</v>
      </c>
      <c r="F71" s="123">
        <f t="shared" si="2"/>
        <v>3.1911087352801005E-3</v>
      </c>
    </row>
    <row r="72" spans="1:6">
      <c r="A72" s="122" t="s">
        <v>439</v>
      </c>
      <c r="B72" s="122" t="s">
        <v>380</v>
      </c>
      <c r="C72" s="112">
        <f>IFERROR(VLOOKUP(CONCATENATE(A72," County, ",B72),'[4]PNW climtate zones'!A$15:B$145,2,FALSE),"")</f>
        <v>34403</v>
      </c>
      <c r="D72" s="122">
        <v>3</v>
      </c>
      <c r="E72" s="122">
        <f t="shared" si="3"/>
        <v>1540</v>
      </c>
      <c r="F72" s="123">
        <f t="shared" si="2"/>
        <v>2.7029006036842036E-3</v>
      </c>
    </row>
    <row r="73" spans="1:6">
      <c r="A73" s="122" t="s">
        <v>440</v>
      </c>
      <c r="B73" s="122" t="s">
        <v>382</v>
      </c>
      <c r="C73" s="112">
        <f>IFERROR(VLOOKUP(CONCATENATE(A73," County, ",B73),'[4]PNW climtate zones'!A$15:B$145,2,FALSE),"")</f>
        <v>19005</v>
      </c>
      <c r="D73" s="122">
        <v>3</v>
      </c>
      <c r="E73" s="122">
        <f t="shared" si="3"/>
        <v>1540</v>
      </c>
      <c r="F73" s="123">
        <f t="shared" si="2"/>
        <v>1.4931437948149373E-3</v>
      </c>
    </row>
    <row r="74" spans="1:6">
      <c r="A74" s="122" t="s">
        <v>441</v>
      </c>
      <c r="B74" s="122" t="s">
        <v>382</v>
      </c>
      <c r="C74" s="112">
        <f>IFERROR(VLOOKUP(CONCATENATE(A74," County, ",B74),'[4]PNW climtate zones'!A$15:B$145,2,FALSE),"")</f>
        <v>21888</v>
      </c>
      <c r="D74" s="122">
        <v>3</v>
      </c>
      <c r="E74" s="122">
        <f t="shared" ref="E74:E105" si="4">IF(D74=1,B$2)+IF(D74=2,B$3)+IF(D74=3,B$4)+IF(D74=4,B$5)+IF(D74=5,B$6)</f>
        <v>1540</v>
      </c>
      <c r="F74" s="123">
        <f t="shared" ref="F74:F137" si="5">C74/C$139</f>
        <v>1.719649112386706E-3</v>
      </c>
    </row>
    <row r="75" spans="1:6">
      <c r="A75" s="122" t="s">
        <v>397</v>
      </c>
      <c r="B75" s="122" t="s">
        <v>382</v>
      </c>
      <c r="C75" s="112">
        <f>IFERROR(VLOOKUP(CONCATENATE(A75," County, ",B75),'[4]PNW climtate zones'!A$15:B$145,2,FALSE),"")</f>
        <v>182398</v>
      </c>
      <c r="D75" s="122">
        <v>3</v>
      </c>
      <c r="E75" s="122">
        <f t="shared" si="4"/>
        <v>1540</v>
      </c>
      <c r="F75" s="123">
        <f t="shared" si="5"/>
        <v>1.4330252138208627E-2</v>
      </c>
    </row>
    <row r="76" spans="1:6">
      <c r="A76" s="122" t="s">
        <v>444</v>
      </c>
      <c r="B76" s="122" t="s">
        <v>382</v>
      </c>
      <c r="C76" s="112">
        <f>IFERROR(VLOOKUP(CONCATENATE(A76," County, ",B76),'[4]PNW climtate zones'!A$15:B$145,2,FALSE),"")</f>
        <v>73687</v>
      </c>
      <c r="D76" s="122">
        <v>3</v>
      </c>
      <c r="E76" s="122">
        <f t="shared" si="4"/>
        <v>1540</v>
      </c>
      <c r="F76" s="123">
        <f t="shared" si="5"/>
        <v>5.7892810738504755E-3</v>
      </c>
    </row>
    <row r="77" spans="1:6">
      <c r="A77" s="122" t="s">
        <v>401</v>
      </c>
      <c r="B77" s="122" t="s">
        <v>382</v>
      </c>
      <c r="C77" s="112">
        <f>IFERROR(VLOOKUP(CONCATENATE(A77," County, ",B77),'[4]PNW climtate zones'!A$15:B$145,2,FALSE),"")</f>
        <v>3995</v>
      </c>
      <c r="D77" s="122">
        <v>3</v>
      </c>
      <c r="E77" s="122">
        <f t="shared" si="4"/>
        <v>1540</v>
      </c>
      <c r="F77" s="123">
        <f t="shared" si="5"/>
        <v>3.1387053198030383E-4</v>
      </c>
    </row>
    <row r="78" spans="1:6">
      <c r="A78" s="122" t="s">
        <v>446</v>
      </c>
      <c r="B78" s="122" t="s">
        <v>382</v>
      </c>
      <c r="C78" s="112">
        <f>IFERROR(VLOOKUP(CONCATENATE(A78," County, ",B78),'[4]PNW climtate zones'!A$15:B$145,2,FALSE),"")</f>
        <v>39350</v>
      </c>
      <c r="D78" s="122">
        <v>3</v>
      </c>
      <c r="E78" s="122">
        <f t="shared" si="4"/>
        <v>1540</v>
      </c>
      <c r="F78" s="123">
        <f t="shared" si="5"/>
        <v>3.0915658156257715E-3</v>
      </c>
    </row>
    <row r="79" spans="1:6">
      <c r="A79" s="122" t="s">
        <v>448</v>
      </c>
      <c r="B79" s="122" t="s">
        <v>382</v>
      </c>
      <c r="C79" s="112">
        <f>IFERROR(VLOOKUP(CONCATENATE(A79," County, ",B79),'[4]PNW climtate zones'!A$15:B$145,2,FALSE),"")</f>
        <v>7705</v>
      </c>
      <c r="D79" s="122">
        <v>3</v>
      </c>
      <c r="E79" s="122">
        <f t="shared" si="4"/>
        <v>1540</v>
      </c>
      <c r="F79" s="123">
        <f t="shared" si="5"/>
        <v>6.0534979947640579E-4</v>
      </c>
    </row>
    <row r="80" spans="1:6">
      <c r="A80" s="122" t="s">
        <v>424</v>
      </c>
      <c r="B80" s="122" t="s">
        <v>382</v>
      </c>
      <c r="C80" s="112">
        <f>IFERROR(VLOOKUP(CONCATENATE(A80," County, ",B80),'[4]PNW climtate zones'!A$15:B$145,2,FALSE),"")</f>
        <v>85845</v>
      </c>
      <c r="D80" s="122">
        <v>3</v>
      </c>
      <c r="E80" s="122">
        <f t="shared" si="4"/>
        <v>1540</v>
      </c>
      <c r="F80" s="123">
        <f t="shared" si="5"/>
        <v>6.7444845601624991E-3</v>
      </c>
    </row>
    <row r="81" spans="1:6">
      <c r="A81" s="122" t="s">
        <v>450</v>
      </c>
      <c r="B81" s="122" t="s">
        <v>382</v>
      </c>
      <c r="C81" s="112">
        <f>IFERROR(VLOOKUP(CONCATENATE(A81," County, ",B81),'[4]PNW climtate zones'!A$15:B$145,2,FALSE),"")</f>
        <v>2228</v>
      </c>
      <c r="D81" s="122">
        <v>3</v>
      </c>
      <c r="E81" s="122">
        <f t="shared" si="4"/>
        <v>1540</v>
      </c>
      <c r="F81" s="123">
        <f t="shared" si="5"/>
        <v>1.7504469217825207E-4</v>
      </c>
    </row>
    <row r="82" spans="1:6">
      <c r="A82" s="122" t="s">
        <v>452</v>
      </c>
      <c r="B82" s="122" t="s">
        <v>382</v>
      </c>
      <c r="C82" s="112">
        <f>IFERROR(VLOOKUP(CONCATENATE(A82," County, ",B82),'[4]PNW climtate zones'!A$15:B$145,2,FALSE),"")</f>
        <v>91723</v>
      </c>
      <c r="D82" s="122">
        <v>3</v>
      </c>
      <c r="E82" s="122">
        <f t="shared" si="4"/>
        <v>1540</v>
      </c>
      <c r="F82" s="123">
        <f t="shared" si="5"/>
        <v>7.2062945694191267E-3</v>
      </c>
    </row>
    <row r="83" spans="1:6">
      <c r="A83" s="122" t="s">
        <v>427</v>
      </c>
      <c r="B83" s="122" t="s">
        <v>382</v>
      </c>
      <c r="C83" s="112">
        <f>IFERROR(VLOOKUP(CONCATENATE(A83," County, ",B83),'[4]PNW climtate zones'!A$15:B$145,2,FALSE),"")</f>
        <v>29854</v>
      </c>
      <c r="D83" s="122">
        <v>3</v>
      </c>
      <c r="E83" s="122">
        <f t="shared" si="4"/>
        <v>1540</v>
      </c>
      <c r="F83" s="123">
        <f t="shared" si="5"/>
        <v>2.3455045961802232E-3</v>
      </c>
    </row>
    <row r="84" spans="1:6">
      <c r="A84" s="122" t="s">
        <v>454</v>
      </c>
      <c r="B84" s="122" t="s">
        <v>382</v>
      </c>
      <c r="C84" s="112">
        <f>IFERROR(VLOOKUP(CONCATENATE(A84," County, ",B84),'[4]PNW climtate zones'!A$15:B$145,2,FALSE),"")</f>
        <v>32021</v>
      </c>
      <c r="D84" s="122">
        <v>3</v>
      </c>
      <c r="E84" s="122">
        <f t="shared" si="4"/>
        <v>1540</v>
      </c>
      <c r="F84" s="123">
        <f t="shared" si="5"/>
        <v>2.5157567721004531E-3</v>
      </c>
    </row>
    <row r="85" spans="1:6">
      <c r="A85" s="122" t="s">
        <v>456</v>
      </c>
      <c r="B85" s="122" t="s">
        <v>382</v>
      </c>
      <c r="C85" s="112">
        <f>IFERROR(VLOOKUP(CONCATENATE(A85," County, ",B85),'[4]PNW climtate zones'!A$15:B$145,2,FALSE),"")</f>
        <v>20699</v>
      </c>
      <c r="D85" s="122">
        <v>3</v>
      </c>
      <c r="E85" s="122">
        <f t="shared" si="4"/>
        <v>1540</v>
      </c>
      <c r="F85" s="123">
        <f t="shared" si="5"/>
        <v>1.6262343282754217E-3</v>
      </c>
    </row>
    <row r="86" spans="1:6">
      <c r="A86" s="122" t="s">
        <v>407</v>
      </c>
      <c r="B86" s="122" t="s">
        <v>382</v>
      </c>
      <c r="C86" s="112">
        <f>IFERROR(VLOOKUP(CONCATENATE(A86," County, ",B86),'[4]PNW climtate zones'!A$15:B$145,2,FALSE),"")</f>
        <v>10437</v>
      </c>
      <c r="D86" s="122">
        <v>3</v>
      </c>
      <c r="E86" s="122">
        <f t="shared" si="4"/>
        <v>1540</v>
      </c>
      <c r="F86" s="123">
        <f t="shared" si="5"/>
        <v>8.1999167516356227E-4</v>
      </c>
    </row>
    <row r="87" spans="1:6">
      <c r="A87" s="122" t="s">
        <v>459</v>
      </c>
      <c r="B87" s="122" t="s">
        <v>382</v>
      </c>
      <c r="C87" s="112">
        <f>IFERROR(VLOOKUP(CONCATENATE(A87," County, ",B87),'[4]PNW climtate zones'!A$15:B$145,2,FALSE),"")</f>
        <v>41275</v>
      </c>
      <c r="D87" s="122">
        <v>3</v>
      </c>
      <c r="E87" s="122">
        <f t="shared" si="4"/>
        <v>1540</v>
      </c>
      <c r="F87" s="123">
        <f t="shared" si="5"/>
        <v>3.2428050581945035E-3</v>
      </c>
    </row>
    <row r="88" spans="1:6">
      <c r="A88" s="122" t="s">
        <v>461</v>
      </c>
      <c r="B88" s="122" t="s">
        <v>382</v>
      </c>
      <c r="C88" s="112">
        <f>IFERROR(VLOOKUP(CONCATENATE(A88," County, ",B88),'[4]PNW climtate zones'!A$15:B$145,2,FALSE),"")</f>
        <v>12980</v>
      </c>
      <c r="D88" s="122">
        <v>3</v>
      </c>
      <c r="E88" s="122">
        <f t="shared" si="4"/>
        <v>1540</v>
      </c>
      <c r="F88" s="123">
        <f t="shared" si="5"/>
        <v>1.0197846070348795E-3</v>
      </c>
    </row>
    <row r="89" spans="1:6">
      <c r="A89" s="122" t="s">
        <v>181</v>
      </c>
      <c r="B89" s="122" t="s">
        <v>382</v>
      </c>
      <c r="C89" s="112">
        <f>IFERROR(VLOOKUP(CONCATENATE(A89," County, ",B89),'[4]PNW climtate zones'!A$15:B$145,2,FALSE),"")</f>
        <v>475735</v>
      </c>
      <c r="D89" s="122">
        <v>3</v>
      </c>
      <c r="E89" s="122">
        <f t="shared" si="4"/>
        <v>1540</v>
      </c>
      <c r="F89" s="123">
        <f t="shared" si="5"/>
        <v>3.7376520032953657E-2</v>
      </c>
    </row>
    <row r="90" spans="1:6">
      <c r="A90" s="122" t="s">
        <v>462</v>
      </c>
      <c r="B90" s="122" t="s">
        <v>382</v>
      </c>
      <c r="C90" s="112">
        <f>IFERROR(VLOOKUP(CONCATENATE(A90," County, ",B90),'[4]PNW climtate zones'!A$15:B$145,2,FALSE),"")</f>
        <v>43538</v>
      </c>
      <c r="D90" s="122">
        <v>3</v>
      </c>
      <c r="E90" s="122">
        <f t="shared" si="4"/>
        <v>1540</v>
      </c>
      <c r="F90" s="123">
        <f t="shared" si="5"/>
        <v>3.4205995547830961E-3</v>
      </c>
    </row>
    <row r="91" spans="1:6">
      <c r="A91" s="122" t="s">
        <v>463</v>
      </c>
      <c r="B91" s="122" t="s">
        <v>382</v>
      </c>
      <c r="C91" s="112">
        <f>IFERROR(VLOOKUP(CONCATENATE(A91," County, ",B91),'[4]PNW climtate zones'!A$15:B$145,2,FALSE),"")</f>
        <v>59404</v>
      </c>
      <c r="D91" s="122">
        <v>3</v>
      </c>
      <c r="E91" s="122">
        <f t="shared" si="4"/>
        <v>1540</v>
      </c>
      <c r="F91" s="123">
        <f t="shared" si="5"/>
        <v>4.6671251769106305E-3</v>
      </c>
    </row>
    <row r="92" spans="1:6">
      <c r="A92" s="122" t="s">
        <v>464</v>
      </c>
      <c r="B92" s="122" t="s">
        <v>382</v>
      </c>
      <c r="C92" s="112">
        <f>IFERROR(VLOOKUP(CONCATENATE(A92," County, ",B92),'[4]PNW climtate zones'!A$15:B$145,2,FALSE),"")</f>
        <v>46606</v>
      </c>
      <c r="D92" s="122">
        <v>3</v>
      </c>
      <c r="E92" s="122">
        <f t="shared" si="4"/>
        <v>1540</v>
      </c>
      <c r="F92" s="123">
        <f t="shared" si="5"/>
        <v>3.6616395528095225E-3</v>
      </c>
    </row>
    <row r="93" spans="1:6">
      <c r="A93" s="122" t="s">
        <v>465</v>
      </c>
      <c r="B93" s="122" t="s">
        <v>382</v>
      </c>
      <c r="C93" s="112">
        <f>IFERROR(VLOOKUP(CONCATENATE(A93," County, ",B93),'[4]PNW climtate zones'!A$15:B$145,2,FALSE),"")</f>
        <v>246977</v>
      </c>
      <c r="D93" s="122">
        <v>3</v>
      </c>
      <c r="E93" s="122">
        <f t="shared" si="4"/>
        <v>1540</v>
      </c>
      <c r="F93" s="123">
        <f t="shared" si="5"/>
        <v>1.9403955538648186E-2</v>
      </c>
    </row>
    <row r="94" spans="1:6">
      <c r="A94" s="122" t="s">
        <v>442</v>
      </c>
      <c r="B94" s="122" t="s">
        <v>388</v>
      </c>
      <c r="C94" s="112">
        <f>IFERROR(VLOOKUP(CONCATENATE(A94," County, ",B94),'[4]PNW climtate zones'!A$15:B$145,2,FALSE),"")</f>
        <v>15909</v>
      </c>
      <c r="D94" s="122">
        <v>3</v>
      </c>
      <c r="E94" s="122">
        <f t="shared" si="4"/>
        <v>1540</v>
      </c>
      <c r="F94" s="123">
        <f t="shared" si="5"/>
        <v>1.2499039532602389E-3</v>
      </c>
    </row>
    <row r="95" spans="1:6">
      <c r="A95" s="122" t="s">
        <v>443</v>
      </c>
      <c r="B95" s="122" t="s">
        <v>388</v>
      </c>
      <c r="C95" s="112">
        <f>IFERROR(VLOOKUP(CONCATENATE(A95," County, ",B95),'[4]PNW climtate zones'!A$15:B$145,2,FALSE),"")</f>
        <v>62534</v>
      </c>
      <c r="D95" s="122">
        <v>3</v>
      </c>
      <c r="E95" s="122">
        <f t="shared" si="4"/>
        <v>1540</v>
      </c>
      <c r="F95" s="123">
        <f t="shared" si="5"/>
        <v>4.9130362570353747E-3</v>
      </c>
    </row>
    <row r="96" spans="1:6">
      <c r="A96" s="122" t="s">
        <v>445</v>
      </c>
      <c r="B96" s="122" t="s">
        <v>388</v>
      </c>
      <c r="C96" s="112">
        <f>IFERROR(VLOOKUP(CONCATENATE(A96," County, ",B96),'[4]PNW climtate zones'!A$15:B$145,2,FALSE),"")</f>
        <v>22248</v>
      </c>
      <c r="D96" s="122">
        <v>3</v>
      </c>
      <c r="E96" s="122">
        <f t="shared" si="4"/>
        <v>1540</v>
      </c>
      <c r="F96" s="123">
        <f t="shared" si="5"/>
        <v>1.7479328148930664E-3</v>
      </c>
    </row>
    <row r="97" spans="1:6">
      <c r="A97" s="122" t="s">
        <v>446</v>
      </c>
      <c r="B97" s="122" t="s">
        <v>388</v>
      </c>
      <c r="C97" s="112">
        <f>IFERROR(VLOOKUP(CONCATENATE(A97," County, ",B97),'[4]PNW climtate zones'!A$15:B$145,2,FALSE),"")</f>
        <v>107164</v>
      </c>
      <c r="D97" s="122">
        <v>3</v>
      </c>
      <c r="E97" s="122">
        <f t="shared" si="4"/>
        <v>1540</v>
      </c>
      <c r="F97" s="123">
        <f t="shared" si="5"/>
        <v>8.4194297094210974E-3</v>
      </c>
    </row>
    <row r="98" spans="1:6">
      <c r="A98" s="122" t="s">
        <v>447</v>
      </c>
      <c r="B98" s="122" t="s">
        <v>388</v>
      </c>
      <c r="C98" s="112">
        <f>IFERROR(VLOOKUP(CONCATENATE(A98," County, ",B98),'[4]PNW climtate zones'!A$15:B$145,2,FALSE),"")</f>
        <v>1953</v>
      </c>
      <c r="D98" s="122">
        <v>3</v>
      </c>
      <c r="E98" s="122">
        <f t="shared" si="4"/>
        <v>1540</v>
      </c>
      <c r="F98" s="123">
        <f t="shared" si="5"/>
        <v>1.5343908609700461E-4</v>
      </c>
    </row>
    <row r="99" spans="1:6">
      <c r="A99" s="122" t="s">
        <v>449</v>
      </c>
      <c r="B99" s="122" t="s">
        <v>388</v>
      </c>
      <c r="C99" s="112">
        <f>IFERROR(VLOOKUP(CONCATENATE(A99," County, ",B99),'[4]PNW climtate zones'!A$15:B$145,2,FALSE),"")</f>
        <v>206412</v>
      </c>
      <c r="D99" s="122">
        <v>3</v>
      </c>
      <c r="E99" s="122">
        <f t="shared" si="4"/>
        <v>1540</v>
      </c>
      <c r="F99" s="123">
        <f t="shared" si="5"/>
        <v>1.6216932227063448E-2</v>
      </c>
    </row>
    <row r="100" spans="1:6">
      <c r="A100" s="122" t="s">
        <v>427</v>
      </c>
      <c r="B100" s="122" t="s">
        <v>388</v>
      </c>
      <c r="C100" s="112">
        <f>IFERROR(VLOOKUP(CONCATENATE(A100," County, ",B100),'[4]PNW climtate zones'!A$15:B$145,2,FALSE),"")</f>
        <v>21749</v>
      </c>
      <c r="D100" s="122">
        <v>3</v>
      </c>
      <c r="E100" s="122">
        <f t="shared" si="4"/>
        <v>1540</v>
      </c>
      <c r="F100" s="123">
        <f t="shared" si="5"/>
        <v>1.7087284605856391E-3</v>
      </c>
    </row>
    <row r="101" spans="1:6">
      <c r="A101" s="122" t="s">
        <v>451</v>
      </c>
      <c r="B101" s="122" t="s">
        <v>388</v>
      </c>
      <c r="C101" s="112">
        <f>IFERROR(VLOOKUP(CONCATENATE(A101," County, ",B101),'[4]PNW climtate zones'!A$15:B$145,2,FALSE),"")</f>
        <v>82930</v>
      </c>
      <c r="D101" s="122">
        <v>3</v>
      </c>
      <c r="E101" s="122">
        <f t="shared" si="4"/>
        <v>1540</v>
      </c>
      <c r="F101" s="123">
        <f t="shared" si="5"/>
        <v>6.5154651357012764E-3</v>
      </c>
    </row>
    <row r="102" spans="1:6">
      <c r="A102" s="122" t="s">
        <v>453</v>
      </c>
      <c r="B102" s="122" t="s">
        <v>388</v>
      </c>
      <c r="C102" s="112">
        <f>IFERROR(VLOOKUP(CONCATENATE(A102," County, ",B102),'[4]PNW climtate zones'!A$15:B$145,2,FALSE),"")</f>
        <v>11244</v>
      </c>
      <c r="D102" s="122">
        <v>3</v>
      </c>
      <c r="E102" s="122">
        <f t="shared" si="4"/>
        <v>1540</v>
      </c>
      <c r="F102" s="123">
        <f t="shared" si="5"/>
        <v>8.8339430828198666E-4</v>
      </c>
    </row>
    <row r="103" spans="1:6">
      <c r="A103" s="122" t="s">
        <v>455</v>
      </c>
      <c r="B103" s="122" t="s">
        <v>388</v>
      </c>
      <c r="C103" s="112">
        <f>IFERROR(VLOOKUP(CONCATENATE(A103," County, ",B103),'[4]PNW climtate zones'!A$15:B$145,2,FALSE),"")</f>
        <v>76820</v>
      </c>
      <c r="D103" s="122">
        <v>3</v>
      </c>
      <c r="E103" s="122">
        <f t="shared" si="4"/>
        <v>1540</v>
      </c>
      <c r="F103" s="123">
        <f t="shared" si="5"/>
        <v>6.0354278514961057E-3</v>
      </c>
    </row>
    <row r="104" spans="1:6">
      <c r="A104" s="122" t="s">
        <v>457</v>
      </c>
      <c r="B104" s="122" t="s">
        <v>388</v>
      </c>
      <c r="C104" s="112">
        <f>IFERROR(VLOOKUP(CONCATENATE(A104," County, ",B104),'[4]PNW climtate zones'!A$15:B$145,2,FALSE),"")</f>
        <v>25759</v>
      </c>
      <c r="D104" s="122">
        <v>3</v>
      </c>
      <c r="E104" s="122">
        <f t="shared" si="4"/>
        <v>1540</v>
      </c>
      <c r="F104" s="123">
        <f t="shared" si="5"/>
        <v>2.0237774801703749E-3</v>
      </c>
    </row>
    <row r="105" spans="1:6">
      <c r="A105" s="122" t="s">
        <v>458</v>
      </c>
      <c r="B105" s="122" t="s">
        <v>388</v>
      </c>
      <c r="C105" s="112">
        <f>IFERROR(VLOOKUP(CONCATENATE(A105," County, ",B105),'[4]PNW climtate zones'!A$15:B$145,2,FALSE),"")</f>
        <v>6821</v>
      </c>
      <c r="D105" s="122">
        <v>3</v>
      </c>
      <c r="E105" s="122">
        <f t="shared" si="4"/>
        <v>1540</v>
      </c>
      <c r="F105" s="123">
        <f t="shared" si="5"/>
        <v>5.3589759665523219E-4</v>
      </c>
    </row>
    <row r="106" spans="1:6">
      <c r="A106" s="122" t="s">
        <v>460</v>
      </c>
      <c r="B106" s="122" t="s">
        <v>388</v>
      </c>
      <c r="C106" s="112">
        <f>IFERROR(VLOOKUP(CONCATENATE(A106," County, ",B106),'[4]PNW climtate zones'!A$15:B$145,2,FALSE),"")</f>
        <v>25487</v>
      </c>
      <c r="D106" s="122">
        <v>3</v>
      </c>
      <c r="E106" s="122">
        <f t="shared" ref="E106:E137" si="6">IF(D106=1,B$2)+IF(D106=2,B$3)+IF(D106=3,B$4)+IF(D106=4,B$5)+IF(D106=5,B$6)</f>
        <v>1540</v>
      </c>
      <c r="F106" s="123">
        <f t="shared" si="5"/>
        <v>2.0024075716100135E-3</v>
      </c>
    </row>
    <row r="107" spans="1:6">
      <c r="A107" s="125" t="s">
        <v>493</v>
      </c>
      <c r="B107" s="122" t="s">
        <v>396</v>
      </c>
      <c r="C107" s="112">
        <f>IFERROR(VLOOKUP(A107,'[4]PNW climtate zones'!A$15:B$146,2,FALSE),"")</f>
        <v>10099</v>
      </c>
      <c r="D107" s="122">
        <v>4</v>
      </c>
      <c r="E107" s="122">
        <f t="shared" si="6"/>
        <v>1700</v>
      </c>
      <c r="F107" s="123">
        <f t="shared" si="5"/>
        <v>7.9343642114370185E-4</v>
      </c>
    </row>
    <row r="108" spans="1:6">
      <c r="A108" s="122" t="s">
        <v>466</v>
      </c>
      <c r="B108" s="122" t="s">
        <v>396</v>
      </c>
      <c r="C108" s="112">
        <f>IFERROR(VLOOKUP(CONCATENATE(A108," County, ",B108),'[4]PNW climtate zones'!A$15:B$145,2,FALSE),"")</f>
        <v>83800</v>
      </c>
      <c r="D108" s="122">
        <v>4</v>
      </c>
      <c r="E108" s="122">
        <f t="shared" si="6"/>
        <v>1700</v>
      </c>
      <c r="F108" s="123">
        <f t="shared" si="5"/>
        <v>6.5838174167583141E-3</v>
      </c>
    </row>
    <row r="109" spans="1:6">
      <c r="A109" s="122" t="s">
        <v>467</v>
      </c>
      <c r="B109" s="122" t="s">
        <v>396</v>
      </c>
      <c r="C109" s="112">
        <f>IFERROR(VLOOKUP(CONCATENATE(A109," County, ",B109),'[4]PNW climtate zones'!A$15:B$145,2,FALSE),"")</f>
        <v>45474</v>
      </c>
      <c r="D109" s="122">
        <v>4</v>
      </c>
      <c r="E109" s="122">
        <f t="shared" si="6"/>
        <v>1700</v>
      </c>
      <c r="F109" s="123">
        <f t="shared" si="5"/>
        <v>3.5727030215950781E-3</v>
      </c>
    </row>
    <row r="110" spans="1:6">
      <c r="A110" s="122" t="s">
        <v>468</v>
      </c>
      <c r="B110" s="122" t="s">
        <v>396</v>
      </c>
      <c r="C110" s="112">
        <f>IFERROR(VLOOKUP(CONCATENATE(A110," County, ",B110),'[4]PNW climtate zones'!A$15:B$145,2,FALSE),"")</f>
        <v>21146</v>
      </c>
      <c r="D110" s="122">
        <v>4</v>
      </c>
      <c r="E110" s="122">
        <f t="shared" si="6"/>
        <v>1700</v>
      </c>
      <c r="F110" s="123">
        <f t="shared" si="5"/>
        <v>1.6613532588874856E-3</v>
      </c>
    </row>
    <row r="111" spans="1:6">
      <c r="A111" s="122" t="s">
        <v>178</v>
      </c>
      <c r="B111" s="122" t="s">
        <v>396</v>
      </c>
      <c r="C111" s="112">
        <f>IFERROR(VLOOKUP(CONCATENATE(A111," County, ",B111),'[4]PNW climtate zones'!A$15:B$145,2,FALSE),"")</f>
        <v>6835</v>
      </c>
      <c r="D111" s="122">
        <v>4</v>
      </c>
      <c r="E111" s="122">
        <f t="shared" si="6"/>
        <v>1700</v>
      </c>
      <c r="F111" s="123">
        <f t="shared" si="5"/>
        <v>5.3699751841936841E-4</v>
      </c>
    </row>
    <row r="112" spans="1:6">
      <c r="A112" s="122" t="s">
        <v>469</v>
      </c>
      <c r="B112" s="122" t="s">
        <v>396</v>
      </c>
      <c r="C112" s="112">
        <f>IFERROR(VLOOKUP(CONCATENATE(A112," County, ",B112),'[4]PNW climtate zones'!A$15:B$145,2,FALSE),"")</f>
        <v>2740</v>
      </c>
      <c r="D112" s="122">
        <v>4</v>
      </c>
      <c r="E112" s="122">
        <f t="shared" si="6"/>
        <v>1700</v>
      </c>
      <c r="F112" s="123">
        <f t="shared" si="5"/>
        <v>2.1527040240952003E-4</v>
      </c>
    </row>
    <row r="113" spans="1:6">
      <c r="A113" s="122" t="s">
        <v>470</v>
      </c>
      <c r="B113" s="122" t="s">
        <v>396</v>
      </c>
      <c r="C113" s="112">
        <f>IFERROR(VLOOKUP(CONCATENATE(A113," County, ",B113),'[4]PNW climtate zones'!A$15:B$145,2,FALSE),"")</f>
        <v>1077</v>
      </c>
      <c r="D113" s="122">
        <v>4</v>
      </c>
      <c r="E113" s="122">
        <f t="shared" si="6"/>
        <v>1700</v>
      </c>
      <c r="F113" s="123">
        <f t="shared" si="5"/>
        <v>8.4615409998194563E-5</v>
      </c>
    </row>
    <row r="114" spans="1:6">
      <c r="A114" s="112" t="s">
        <v>494</v>
      </c>
      <c r="B114" s="122" t="s">
        <v>396</v>
      </c>
      <c r="C114" s="112">
        <f>IFERROR(VLOOKUP(A114,'[4]PNW climtate zones'!A$15:B$146,2,FALSE),"")</f>
        <v>124442</v>
      </c>
      <c r="D114" s="122">
        <v>4</v>
      </c>
      <c r="E114" s="122">
        <f t="shared" si="6"/>
        <v>1700</v>
      </c>
      <c r="F114" s="123">
        <f t="shared" si="5"/>
        <v>9.7768902980457997E-3</v>
      </c>
    </row>
    <row r="115" spans="1:6">
      <c r="A115" s="122" t="s">
        <v>471</v>
      </c>
      <c r="B115" s="122" t="s">
        <v>396</v>
      </c>
      <c r="C115" s="112">
        <f>IFERROR(VLOOKUP(CONCATENATE(A115," County, ",B115),'[4]PNW climtate zones'!A$15:B$145,2,FALSE),"")</f>
        <v>6787</v>
      </c>
      <c r="D115" s="122">
        <v>4</v>
      </c>
      <c r="E115" s="122">
        <f t="shared" si="6"/>
        <v>1700</v>
      </c>
      <c r="F115" s="123">
        <f t="shared" si="5"/>
        <v>5.3322635808518708E-4</v>
      </c>
    </row>
    <row r="116" spans="1:6">
      <c r="A116" s="122" t="s">
        <v>472</v>
      </c>
      <c r="B116" s="122" t="s">
        <v>396</v>
      </c>
      <c r="C116" s="112">
        <f>IFERROR(VLOOKUP(CONCATENATE(A116," County, ",B116),'[4]PNW climtate zones'!A$15:B$145,2,FALSE),"")</f>
        <v>23249</v>
      </c>
      <c r="D116" s="122">
        <v>4</v>
      </c>
      <c r="E116" s="122">
        <f t="shared" si="6"/>
        <v>1700</v>
      </c>
      <c r="F116" s="123">
        <f t="shared" si="5"/>
        <v>1.826577221028807E-3</v>
      </c>
    </row>
    <row r="117" spans="1:6">
      <c r="A117" s="122" t="s">
        <v>473</v>
      </c>
      <c r="B117" s="122" t="s">
        <v>396</v>
      </c>
      <c r="C117" s="112">
        <f>IFERROR(VLOOKUP(CONCATENATE(A117," County, ",B117),'[4]PNW climtate zones'!A$15:B$145,2,FALSE),"")</f>
        <v>4331</v>
      </c>
      <c r="D117" s="122">
        <v>4</v>
      </c>
      <c r="E117" s="122">
        <f t="shared" si="6"/>
        <v>1700</v>
      </c>
      <c r="F117" s="123">
        <f t="shared" si="5"/>
        <v>3.4026865431957347E-4</v>
      </c>
    </row>
    <row r="118" spans="1:6">
      <c r="A118" s="122" t="s">
        <v>474</v>
      </c>
      <c r="B118" s="122" t="s">
        <v>396</v>
      </c>
      <c r="C118" s="112">
        <f>IFERROR(VLOOKUP(CONCATENATE(A118," County, ",B118),'[4]PNW climtate zones'!A$15:B$145,2,FALSE),"")</f>
        <v>26223</v>
      </c>
      <c r="D118" s="122">
        <v>4</v>
      </c>
      <c r="E118" s="122">
        <f t="shared" si="6"/>
        <v>1700</v>
      </c>
      <c r="F118" s="123">
        <f t="shared" si="5"/>
        <v>2.0602320300674615E-3</v>
      </c>
    </row>
    <row r="119" spans="1:6">
      <c r="A119" s="122" t="s">
        <v>475</v>
      </c>
      <c r="B119" s="122" t="s">
        <v>396</v>
      </c>
      <c r="C119" s="112">
        <f>IFERROR(VLOOKUP(CONCATENATE(A119," County, ",B119),'[4]PNW climtate zones'!A$15:B$145,2,FALSE),"")</f>
        <v>16673</v>
      </c>
      <c r="D119" s="122">
        <v>4</v>
      </c>
      <c r="E119" s="122">
        <f t="shared" si="6"/>
        <v>1700</v>
      </c>
      <c r="F119" s="123">
        <f t="shared" si="5"/>
        <v>1.3099282552459591E-3</v>
      </c>
    </row>
    <row r="120" spans="1:6">
      <c r="A120" s="122" t="s">
        <v>476</v>
      </c>
      <c r="B120" s="122" t="s">
        <v>396</v>
      </c>
      <c r="C120" s="112">
        <f>IFERROR(VLOOKUP(CONCATENATE(A120," County, ",B120),'[4]PNW climtate zones'!A$15:B$145,2,FALSE),"")</f>
        <v>15291</v>
      </c>
      <c r="D120" s="122">
        <v>4</v>
      </c>
      <c r="E120" s="122">
        <f t="shared" si="6"/>
        <v>1700</v>
      </c>
      <c r="F120" s="123">
        <f t="shared" si="5"/>
        <v>1.2013502639576536E-3</v>
      </c>
    </row>
    <row r="121" spans="1:6">
      <c r="A121" s="122" t="s">
        <v>477</v>
      </c>
      <c r="B121" s="122" t="s">
        <v>396</v>
      </c>
      <c r="C121" s="112">
        <f>IFERROR(VLOOKUP(CONCATENATE(A121," County, ",B121),'[4]PNW climtate zones'!A$15:B$145,2,FALSE),"")</f>
        <v>22499</v>
      </c>
      <c r="D121" s="122">
        <v>4</v>
      </c>
      <c r="E121" s="122">
        <f t="shared" si="6"/>
        <v>1700</v>
      </c>
      <c r="F121" s="123">
        <f t="shared" si="5"/>
        <v>1.7676528408072231E-3</v>
      </c>
    </row>
    <row r="122" spans="1:6">
      <c r="A122" s="122" t="s">
        <v>478</v>
      </c>
      <c r="B122" s="122" t="s">
        <v>396</v>
      </c>
      <c r="C122" s="112">
        <f>IFERROR(VLOOKUP(CONCATENATE(A122," County, ",B122),'[4]PNW climtate zones'!A$15:B$145,2,FALSE),"")</f>
        <v>7758</v>
      </c>
      <c r="D122" s="122">
        <v>4</v>
      </c>
      <c r="E122" s="122">
        <f t="shared" si="6"/>
        <v>1700</v>
      </c>
      <c r="F122" s="123">
        <f t="shared" si="5"/>
        <v>6.0951378901206445E-4</v>
      </c>
    </row>
    <row r="123" spans="1:6">
      <c r="A123" s="122" t="s">
        <v>407</v>
      </c>
      <c r="B123" s="122" t="s">
        <v>396</v>
      </c>
      <c r="C123" s="112">
        <f>IFERROR(VLOOKUP(CONCATENATE(A123," County, ",B123),'[4]PNW climtate zones'!A$15:B$145,2,FALSE),"")</f>
        <v>5277</v>
      </c>
      <c r="D123" s="122">
        <v>4</v>
      </c>
      <c r="E123" s="122">
        <f t="shared" si="6"/>
        <v>1700</v>
      </c>
      <c r="F123" s="123">
        <f t="shared" si="5"/>
        <v>4.1459193923906469E-4</v>
      </c>
    </row>
    <row r="124" spans="1:6">
      <c r="A124" s="122" t="s">
        <v>485</v>
      </c>
      <c r="B124" s="122" t="s">
        <v>396</v>
      </c>
      <c r="C124" s="112">
        <f>IFERROR(VLOOKUP(CONCATENATE(A124," County, ",B124),'[4]PNW climtate zones'!A$15:B$145,2,FALSE),"")</f>
        <v>20037</v>
      </c>
      <c r="D124" s="122">
        <v>4</v>
      </c>
      <c r="E124" s="122">
        <f t="shared" si="6"/>
        <v>1700</v>
      </c>
      <c r="F124" s="123">
        <f t="shared" si="5"/>
        <v>1.5742237419998368E-3</v>
      </c>
    </row>
    <row r="125" spans="1:6">
      <c r="A125" s="122" t="s">
        <v>486</v>
      </c>
      <c r="B125" s="122" t="s">
        <v>396</v>
      </c>
      <c r="C125" s="112">
        <f>IFERROR(VLOOKUP(CONCATENATE(A125," County, ",B125),'[4]PNW climtate zones'!A$15:B$145,2,FALSE),"")</f>
        <v>4215</v>
      </c>
      <c r="D125" s="122">
        <v>4</v>
      </c>
      <c r="E125" s="122">
        <f t="shared" si="6"/>
        <v>1700</v>
      </c>
      <c r="F125" s="123">
        <f t="shared" si="5"/>
        <v>3.3115501684530182E-4</v>
      </c>
    </row>
    <row r="126" spans="1:6">
      <c r="A126" s="122" t="s">
        <v>479</v>
      </c>
      <c r="B126" s="122" t="s">
        <v>396</v>
      </c>
      <c r="C126" s="112">
        <f>IFERROR(VLOOKUP(CONCATENATE(A126," County, ",B126),'[4]PNW climtate zones'!A$15:B$145,2,FALSE),"")</f>
        <v>22639</v>
      </c>
      <c r="D126" s="122">
        <v>4</v>
      </c>
      <c r="E126" s="122">
        <f t="shared" si="6"/>
        <v>1700</v>
      </c>
      <c r="F126" s="123">
        <f t="shared" si="5"/>
        <v>1.7786520584485855E-3</v>
      </c>
    </row>
    <row r="127" spans="1:6">
      <c r="A127" s="122" t="s">
        <v>480</v>
      </c>
      <c r="B127" s="122" t="s">
        <v>396</v>
      </c>
      <c r="C127" s="112">
        <f>IFERROR(VLOOKUP(CONCATENATE(A127," County, ",B127),'[4]PNW climtate zones'!A$15:B$145,2,FALSE),"")</f>
        <v>7778</v>
      </c>
      <c r="D127" s="122">
        <v>4</v>
      </c>
      <c r="E127" s="122">
        <f t="shared" si="6"/>
        <v>1700</v>
      </c>
      <c r="F127" s="123">
        <f t="shared" si="5"/>
        <v>6.1108510581797334E-4</v>
      </c>
    </row>
    <row r="128" spans="1:6">
      <c r="A128" s="122" t="s">
        <v>481</v>
      </c>
      <c r="B128" s="122" t="s">
        <v>396</v>
      </c>
      <c r="C128" s="112">
        <f>IFERROR(VLOOKUP(CONCATENATE(A128," County, ",B128),'[4]PNW climtate zones'!A$15:B$145,2,FALSE),"")</f>
        <v>78595</v>
      </c>
      <c r="D128" s="122">
        <v>4</v>
      </c>
      <c r="E128" s="122">
        <f t="shared" si="6"/>
        <v>1700</v>
      </c>
      <c r="F128" s="123">
        <f t="shared" si="5"/>
        <v>6.1748822180205214E-3</v>
      </c>
    </row>
    <row r="129" spans="1:6">
      <c r="A129" s="122" t="s">
        <v>482</v>
      </c>
      <c r="B129" s="122" t="s">
        <v>396</v>
      </c>
      <c r="C129" s="112">
        <f>IFERROR(VLOOKUP(CONCATENATE(A129," County, ",B129),'[4]PNW climtate zones'!A$15:B$145,2,FALSE),"")</f>
        <v>9545</v>
      </c>
      <c r="D129" s="122">
        <v>4</v>
      </c>
      <c r="E129" s="122">
        <f t="shared" si="6"/>
        <v>1700</v>
      </c>
      <c r="F129" s="123">
        <f t="shared" si="5"/>
        <v>7.4991094562002511E-4</v>
      </c>
    </row>
    <row r="130" spans="1:6">
      <c r="A130" s="122" t="s">
        <v>483</v>
      </c>
      <c r="B130" s="122" t="s">
        <v>388</v>
      </c>
      <c r="C130" s="112">
        <f>IFERROR(VLOOKUP(CONCATENATE(A130," County, ",B130),'[4]PNW climtate zones'!A$15:B$145,2,FALSE),"")</f>
        <v>20729</v>
      </c>
      <c r="D130" s="122">
        <v>4</v>
      </c>
      <c r="E130" s="122">
        <f t="shared" si="6"/>
        <v>1700</v>
      </c>
      <c r="F130" s="123">
        <f t="shared" si="5"/>
        <v>1.628591303484285E-3</v>
      </c>
    </row>
    <row r="131" spans="1:6">
      <c r="A131" s="122" t="s">
        <v>484</v>
      </c>
      <c r="B131" s="122" t="s">
        <v>388</v>
      </c>
      <c r="C131" s="112">
        <f>IFERROR(VLOOKUP(CONCATENATE(A131," County, ",B131),'[4]PNW climtate zones'!A$15:B$145,2,FALSE),"")</f>
        <v>162277</v>
      </c>
      <c r="D131" s="122">
        <v>4</v>
      </c>
      <c r="E131" s="122">
        <f t="shared" si="6"/>
        <v>1700</v>
      </c>
      <c r="F131" s="123">
        <f t="shared" si="5"/>
        <v>1.2749428865623972E-2</v>
      </c>
    </row>
    <row r="132" spans="1:6">
      <c r="A132" s="122" t="s">
        <v>452</v>
      </c>
      <c r="B132" s="122" t="s">
        <v>388</v>
      </c>
      <c r="C132" s="112">
        <f>IFERROR(VLOOKUP(CONCATENATE(A132," County, ",B132),'[4]PNW climtate zones'!A$15:B$145,2,FALSE),"")</f>
        <v>7317</v>
      </c>
      <c r="D132" s="122">
        <v>4</v>
      </c>
      <c r="E132" s="122">
        <f t="shared" si="6"/>
        <v>1700</v>
      </c>
      <c r="F132" s="123">
        <f t="shared" si="5"/>
        <v>5.7486625344177304E-4</v>
      </c>
    </row>
    <row r="133" spans="1:6">
      <c r="A133" s="122" t="s">
        <v>487</v>
      </c>
      <c r="B133" s="122" t="s">
        <v>388</v>
      </c>
      <c r="C133" s="112">
        <f>IFERROR(VLOOKUP(CONCATENATE(A133," County, ",B133),'[4]PNW climtate zones'!A$15:B$145,2,FALSE),"")</f>
        <v>65912</v>
      </c>
      <c r="D133" s="122">
        <v>4</v>
      </c>
      <c r="E133" s="122">
        <f t="shared" si="6"/>
        <v>1700</v>
      </c>
      <c r="F133" s="123">
        <f t="shared" si="5"/>
        <v>5.1784316655533891E-3</v>
      </c>
    </row>
    <row r="134" spans="1:6">
      <c r="A134" s="122" t="s">
        <v>379</v>
      </c>
      <c r="B134" s="122" t="s">
        <v>388</v>
      </c>
      <c r="C134" s="112">
        <f>IFERROR(VLOOKUP(CONCATENATE(A134," County, ",B134),'[4]PNW climtate zones'!A$15:B$145,2,FALSE),"")</f>
        <v>7771</v>
      </c>
      <c r="D134" s="122">
        <v>4</v>
      </c>
      <c r="E134" s="122">
        <f t="shared" si="6"/>
        <v>1700</v>
      </c>
      <c r="F134" s="123">
        <f t="shared" si="5"/>
        <v>6.1053514493590523E-4</v>
      </c>
    </row>
    <row r="135" spans="1:6">
      <c r="A135" s="122" t="s">
        <v>488</v>
      </c>
      <c r="B135" s="122" t="s">
        <v>388</v>
      </c>
      <c r="C135" s="112">
        <f>IFERROR(VLOOKUP(CONCATENATE(A135," County, ",B135),'[4]PNW climtate zones'!A$15:B$145,2,FALSE),"")</f>
        <v>1424</v>
      </c>
      <c r="D135" s="122">
        <v>4</v>
      </c>
      <c r="E135" s="122">
        <f t="shared" si="6"/>
        <v>1700</v>
      </c>
      <c r="F135" s="123">
        <f t="shared" si="5"/>
        <v>1.1187775658071407E-4</v>
      </c>
    </row>
    <row r="136" spans="1:6">
      <c r="A136" s="122" t="s">
        <v>489</v>
      </c>
      <c r="B136" s="122" t="s">
        <v>396</v>
      </c>
      <c r="C136" s="112">
        <f>IFERROR(VLOOKUP(CONCATENATE(A136," County, ",B136),'[4]PNW climtate zones'!A$15:B$145,2,FALSE),"")</f>
        <v>11439</v>
      </c>
      <c r="D136" s="122">
        <v>5</v>
      </c>
      <c r="E136" s="122">
        <f t="shared" si="6"/>
        <v>1770</v>
      </c>
      <c r="F136" s="123">
        <f t="shared" si="5"/>
        <v>8.9871464713959842E-4</v>
      </c>
    </row>
    <row r="137" spans="1:6">
      <c r="A137" s="122" t="s">
        <v>490</v>
      </c>
      <c r="B137" s="122" t="s">
        <v>388</v>
      </c>
      <c r="C137" s="112">
        <f>IFERROR(VLOOKUP(CONCATENATE(A137," County, ",B137),'[4]PNW climtate zones'!A$15:B$145,2,FALSE),"")</f>
        <v>7212</v>
      </c>
      <c r="D137" s="122">
        <v>5</v>
      </c>
      <c r="E137" s="122">
        <f t="shared" si="6"/>
        <v>1770</v>
      </c>
      <c r="F137" s="123">
        <f t="shared" si="5"/>
        <v>5.6661684021075127E-4</v>
      </c>
    </row>
    <row r="138" spans="1:6">
      <c r="A138" s="122" t="s">
        <v>491</v>
      </c>
      <c r="B138" s="122" t="s">
        <v>388</v>
      </c>
      <c r="C138" s="112">
        <f>IFERROR(VLOOKUP(CONCATENATE(A138," County, ",B138),'[4]PNW climtate zones'!A$15:B$145,2,FALSE),"")</f>
        <v>30630</v>
      </c>
      <c r="D138" s="122">
        <v>5</v>
      </c>
      <c r="E138" s="122">
        <f t="shared" ref="E138" si="7">IF(D138=1,B$2)+IF(D138=2,B$3)+IF(D138=3,B$4)+IF(D138=4,B$5)+IF(D138=5,B$6)</f>
        <v>1770</v>
      </c>
      <c r="F138" s="123">
        <f t="shared" ref="F138" si="8">C138/C$139</f>
        <v>2.4064716882494885E-3</v>
      </c>
    </row>
    <row r="139" spans="1:6">
      <c r="A139" s="110" t="s">
        <v>175</v>
      </c>
      <c r="C139" s="112">
        <f>IFERROR(VLOOKUP(A139,'[4]PNW climtate zones'!A$15:B$146,2,FALSE),"")</f>
        <v>12728178</v>
      </c>
    </row>
    <row r="140" spans="1:6">
      <c r="C140" s="112"/>
    </row>
    <row r="141" spans="1:6">
      <c r="C141" s="112"/>
    </row>
    <row r="142" spans="1:6">
      <c r="C142" s="112"/>
    </row>
    <row r="143" spans="1:6">
      <c r="C143" s="112"/>
    </row>
    <row r="144" spans="1:6">
      <c r="C144" s="112"/>
    </row>
    <row r="145" spans="3:5">
      <c r="C145" s="112"/>
    </row>
    <row r="146" spans="3:5">
      <c r="C146" s="112"/>
    </row>
    <row r="147" spans="3:5">
      <c r="C147" s="112"/>
    </row>
    <row r="148" spans="3:5">
      <c r="C148" s="112"/>
    </row>
    <row r="149" spans="3:5">
      <c r="C149" s="112"/>
    </row>
    <row r="150" spans="3:5">
      <c r="C150" s="112"/>
    </row>
    <row r="151" spans="3:5">
      <c r="C151" s="112"/>
    </row>
    <row r="152" spans="3:5">
      <c r="C152" s="112"/>
    </row>
    <row r="153" spans="3:5">
      <c r="C153" s="112"/>
    </row>
    <row r="154" spans="3:5">
      <c r="C154" s="112"/>
    </row>
    <row r="155" spans="3:5">
      <c r="E155" s="124" t="e">
        <f>SUM(#REF!)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7PSourceSummary</vt:lpstr>
      <vt:lpstr>forRPM</vt:lpstr>
      <vt:lpstr>SC-New</vt:lpstr>
      <vt:lpstr>SC-Retro</vt:lpstr>
      <vt:lpstr>M_Input_Out</vt:lpstr>
      <vt:lpstr>M_Input</vt:lpstr>
      <vt:lpstr>Raw</vt:lpstr>
      <vt:lpstr>Costs</vt:lpstr>
      <vt:lpstr>PNW Solar Zones</vt:lpstr>
      <vt:lpstr>SavingsFrac</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2015-03-12T23:42:46Z</dcterms:modified>
</cp:coreProperties>
</file>