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drawings/drawing2.xml" ContentType="application/vnd.openxmlformats-officedocument.drawing+xml"/>
  <Override PartName="/xl/comments4.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30" yWindow="60" windowWidth="24015" windowHeight="12420" activeTab="3"/>
  </bookViews>
  <sheets>
    <sheet name="Overview" sheetId="24" r:id="rId1"/>
    <sheet name="Update Log" sheetId="58" r:id="rId2"/>
    <sheet name="MLIST" sheetId="56" r:id="rId3"/>
    <sheet name="FILES" sheetId="20" r:id="rId4"/>
    <sheet name="APPLIC" sheetId="59" r:id="rId5"/>
    <sheet name="FEAS" sheetId="1" r:id="rId6"/>
    <sheet name="BASE" sheetId="19" r:id="rId7"/>
    <sheet name="STOCK" sheetId="3" r:id="rId8"/>
    <sheet name="TURN" sheetId="4" r:id="rId9"/>
    <sheet name="ACHIEV" sheetId="55" r:id="rId10"/>
    <sheet name="CODE" sheetId="37" r:id="rId11"/>
    <sheet name="SATS" sheetId="7" r:id="rId12"/>
    <sheet name="Bldgs" sheetId="57" r:id="rId13"/>
    <sheet name="Vars" sheetId="9" r:id="rId14"/>
    <sheet name="taxonomy" sheetId="11" r:id="rId15"/>
    <sheet name="Lookup" sheetId="12" r:id="rId16"/>
    <sheet name="UEC" sheetId="13" r:id="rId17"/>
    <sheet name="Tracking Status" sheetId="60"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xlnm._FilterDatabase" localSheetId="9" hidden="1">ACHIEV!$A$19:$AC$19</definedName>
    <definedName name="_xlnm._FilterDatabase" localSheetId="5" hidden="1">FEAS!$A$8:$F$70</definedName>
    <definedName name="_xlnm._FilterDatabase" localSheetId="3" hidden="1">FILES!$A$9:$N$103</definedName>
    <definedName name="_xlnm._FilterDatabase" localSheetId="2" hidden="1">MLIST!$A$8:$F$8</definedName>
    <definedName name="_xlnm._FilterDatabase" localSheetId="7" hidden="1">STOCK!$A$8:$H$106</definedName>
    <definedName name="_xlnm._FilterDatabase" localSheetId="17" hidden="1">'Tracking Status'!$A$1:$R$1</definedName>
    <definedName name="_xlnm._FilterDatabase" localSheetId="8" hidden="1">TURN!$A$8:$G$46</definedName>
    <definedName name="_Key1" localSheetId="14" hidden="1">[1]ProData!$O$27</definedName>
    <definedName name="_Key1" hidden="1">#REF!</definedName>
    <definedName name="_Order1" hidden="1">255</definedName>
    <definedName name="_Sort" localSheetId="14" hidden="1">[1]ProData!$A$28:$CD$34</definedName>
    <definedName name="_Sort" hidden="1">#REF!</definedName>
    <definedName name="ExistingSat">SATS!$B$10:$F$84</definedName>
    <definedName name="Forecasts">Lookup!$C$4:$D$20</definedName>
    <definedName name="NewSat">SATS!$B$87:$F$152</definedName>
    <definedName name="_xlnm.Print_Area" localSheetId="5">FEAS!$B$1:$F$69</definedName>
    <definedName name="_xlnm.Print_Area" localSheetId="11">SATS!$A$1:$F$193</definedName>
    <definedName name="ResApplic">APPLIC!$B$8:$F$119</definedName>
  </definedNames>
  <calcPr calcId="125725"/>
</workbook>
</file>

<file path=xl/calcChain.xml><?xml version="1.0" encoding="utf-8"?>
<calcChain xmlns="http://schemas.openxmlformats.org/spreadsheetml/2006/main">
  <c r="D93" i="19"/>
  <c r="D90"/>
  <c r="D89"/>
  <c r="D88"/>
  <c r="D87"/>
  <c r="D86"/>
  <c r="D82"/>
  <c r="D81"/>
  <c r="C93"/>
  <c r="C92"/>
  <c r="C90"/>
  <c r="C89"/>
  <c r="C88"/>
  <c r="C87"/>
  <c r="C85"/>
  <c r="C84"/>
  <c r="C82"/>
  <c r="C81"/>
  <c r="C98"/>
  <c r="C96"/>
  <c r="C95"/>
  <c r="C97"/>
  <c r="D97"/>
  <c r="D95"/>
  <c r="D98"/>
  <c r="D96"/>
  <c r="H75" i="20" l="1"/>
  <c r="H74"/>
  <c r="C99" i="19"/>
  <c r="C93" i="1"/>
  <c r="C92"/>
  <c r="C90"/>
  <c r="C88"/>
  <c r="C87"/>
  <c r="C85"/>
  <c r="C84"/>
  <c r="C82"/>
  <c r="C81"/>
  <c r="H73" i="20"/>
  <c r="H66" l="1"/>
  <c r="H65"/>
  <c r="H62" l="1"/>
  <c r="H61"/>
  <c r="H59" l="1"/>
  <c r="H60" l="1"/>
  <c r="H41" l="1"/>
  <c r="H40"/>
  <c r="H39"/>
  <c r="H38"/>
  <c r="H29" l="1"/>
  <c r="H24" l="1"/>
  <c r="H23"/>
  <c r="H22" l="1"/>
  <c r="H17" l="1"/>
  <c r="H16" l="1"/>
  <c r="H15"/>
  <c r="H14" l="1"/>
  <c r="H13"/>
  <c r="B50" i="9" l="1"/>
  <c r="B54"/>
  <c r="B56"/>
  <c r="B57"/>
  <c r="B58"/>
  <c r="A112"/>
  <c r="B129" i="7" s="1"/>
  <c r="A116" i="9"/>
  <c r="B133" i="7" s="1"/>
  <c r="A117" i="9"/>
  <c r="B134" i="7" s="1"/>
  <c r="A118" i="9"/>
  <c r="A121"/>
  <c r="A122"/>
  <c r="A123"/>
  <c r="A124"/>
  <c r="B141" i="7" s="1"/>
  <c r="A125" i="9"/>
  <c r="B142" i="7" s="1"/>
  <c r="A126" i="9"/>
  <c r="A127"/>
  <c r="A128"/>
  <c r="B145" i="7" s="1"/>
  <c r="A72" i="9"/>
  <c r="A73"/>
  <c r="A74"/>
  <c r="A75"/>
  <c r="A76"/>
  <c r="A77"/>
  <c r="A78"/>
  <c r="A79"/>
  <c r="A80"/>
  <c r="A81"/>
  <c r="A82"/>
  <c r="A83"/>
  <c r="A84"/>
  <c r="A85"/>
  <c r="A86"/>
  <c r="A87"/>
  <c r="A88"/>
  <c r="A89"/>
  <c r="A90"/>
  <c r="A91"/>
  <c r="A92"/>
  <c r="A93"/>
  <c r="A94"/>
  <c r="A95"/>
  <c r="A96"/>
  <c r="A97"/>
  <c r="A98"/>
  <c r="A99"/>
  <c r="A100"/>
  <c r="A101"/>
  <c r="A102"/>
  <c r="A103"/>
  <c r="A104"/>
  <c r="A105"/>
  <c r="A106"/>
  <c r="A107"/>
  <c r="A71"/>
  <c r="A67"/>
  <c r="B72" i="7" s="1"/>
  <c r="B62" i="13" s="1"/>
  <c r="A59" i="9"/>
  <c r="B64" i="7" s="1"/>
  <c r="B54" i="13" s="1"/>
  <c r="A58" i="9"/>
  <c r="B63" i="7" s="1"/>
  <c r="B53" i="13" s="1"/>
  <c r="A55" i="9"/>
  <c r="B55" s="1"/>
  <c r="A54"/>
  <c r="A115" s="1"/>
  <c r="B132" i="7" s="1"/>
  <c r="A53" i="9"/>
  <c r="B53" s="1"/>
  <c r="A52"/>
  <c r="B57" i="7" s="1"/>
  <c r="B49" i="13" s="1"/>
  <c r="A51" i="9"/>
  <c r="B51" s="1"/>
  <c r="A50"/>
  <c r="B55" i="7" s="1"/>
  <c r="B47" i="13" s="1"/>
  <c r="A49" i="9"/>
  <c r="B54" i="7" s="1"/>
  <c r="B46" i="13" s="1"/>
  <c r="F52" i="19"/>
  <c r="F52" i="59" s="1"/>
  <c r="F51" i="19"/>
  <c r="F51" i="59" s="1"/>
  <c r="C18" i="19"/>
  <c r="C18" i="59" s="1"/>
  <c r="W89" i="55"/>
  <c r="V89"/>
  <c r="U89"/>
  <c r="T89"/>
  <c r="S89"/>
  <c r="R89"/>
  <c r="Q89"/>
  <c r="P89"/>
  <c r="O89"/>
  <c r="N89"/>
  <c r="M89"/>
  <c r="L89"/>
  <c r="K89"/>
  <c r="J89"/>
  <c r="I89"/>
  <c r="H89"/>
  <c r="G89"/>
  <c r="F89"/>
  <c r="E89"/>
  <c r="D89"/>
  <c r="W88"/>
  <c r="V88"/>
  <c r="U88"/>
  <c r="T88"/>
  <c r="S88"/>
  <c r="R88"/>
  <c r="Q88"/>
  <c r="P88"/>
  <c r="O88"/>
  <c r="N88"/>
  <c r="M88"/>
  <c r="L88"/>
  <c r="K88"/>
  <c r="J88"/>
  <c r="I88"/>
  <c r="H88"/>
  <c r="G88"/>
  <c r="F88"/>
  <c r="E88"/>
  <c r="D88"/>
  <c r="W87"/>
  <c r="V87"/>
  <c r="U87"/>
  <c r="T87"/>
  <c r="S87"/>
  <c r="R87"/>
  <c r="Q87"/>
  <c r="P87"/>
  <c r="O87"/>
  <c r="N87"/>
  <c r="M87"/>
  <c r="L87"/>
  <c r="K87"/>
  <c r="J87"/>
  <c r="I87"/>
  <c r="H87"/>
  <c r="G87"/>
  <c r="F87"/>
  <c r="E87"/>
  <c r="D87"/>
  <c r="W86"/>
  <c r="V86"/>
  <c r="U86"/>
  <c r="T86"/>
  <c r="S86"/>
  <c r="R86"/>
  <c r="Q86"/>
  <c r="P86"/>
  <c r="O86"/>
  <c r="N86"/>
  <c r="M86"/>
  <c r="L86"/>
  <c r="K86"/>
  <c r="J86"/>
  <c r="I86"/>
  <c r="H86"/>
  <c r="G86"/>
  <c r="F86"/>
  <c r="E86"/>
  <c r="D86"/>
  <c r="W85"/>
  <c r="V85"/>
  <c r="U85"/>
  <c r="T85"/>
  <c r="S85"/>
  <c r="R85"/>
  <c r="Q85"/>
  <c r="P85"/>
  <c r="O85"/>
  <c r="N85"/>
  <c r="M85"/>
  <c r="L85"/>
  <c r="K85"/>
  <c r="J85"/>
  <c r="I85"/>
  <c r="H85"/>
  <c r="G85"/>
  <c r="F85"/>
  <c r="E85"/>
  <c r="D85"/>
  <c r="W84"/>
  <c r="V84"/>
  <c r="U84"/>
  <c r="T84"/>
  <c r="S84"/>
  <c r="R84"/>
  <c r="Q84"/>
  <c r="P84"/>
  <c r="O84"/>
  <c r="N84"/>
  <c r="M84"/>
  <c r="L84"/>
  <c r="K84"/>
  <c r="J84"/>
  <c r="I84"/>
  <c r="H84"/>
  <c r="G84"/>
  <c r="F84"/>
  <c r="E84"/>
  <c r="D84"/>
  <c r="W83"/>
  <c r="V83"/>
  <c r="U83"/>
  <c r="T83"/>
  <c r="S83"/>
  <c r="R83"/>
  <c r="Q83"/>
  <c r="P83"/>
  <c r="O83"/>
  <c r="N83"/>
  <c r="M83"/>
  <c r="L83"/>
  <c r="K83"/>
  <c r="J83"/>
  <c r="I83"/>
  <c r="H83"/>
  <c r="G83"/>
  <c r="F83"/>
  <c r="E83"/>
  <c r="D83"/>
  <c r="W82"/>
  <c r="V82"/>
  <c r="U82"/>
  <c r="T82"/>
  <c r="S82"/>
  <c r="R82"/>
  <c r="Q82"/>
  <c r="P82"/>
  <c r="O82"/>
  <c r="N82"/>
  <c r="M82"/>
  <c r="L82"/>
  <c r="K82"/>
  <c r="J82"/>
  <c r="I82"/>
  <c r="H82"/>
  <c r="G82"/>
  <c r="F82"/>
  <c r="E82"/>
  <c r="D82"/>
  <c r="W81"/>
  <c r="V81"/>
  <c r="U81"/>
  <c r="T81"/>
  <c r="S81"/>
  <c r="R81"/>
  <c r="Q81"/>
  <c r="P81"/>
  <c r="O81"/>
  <c r="N81"/>
  <c r="M81"/>
  <c r="L81"/>
  <c r="K81"/>
  <c r="J81"/>
  <c r="I81"/>
  <c r="H81"/>
  <c r="G81"/>
  <c r="F81"/>
  <c r="E81"/>
  <c r="D81"/>
  <c r="W80"/>
  <c r="V80"/>
  <c r="U80"/>
  <c r="T80"/>
  <c r="S80"/>
  <c r="R80"/>
  <c r="Q80"/>
  <c r="P80"/>
  <c r="O80"/>
  <c r="N80"/>
  <c r="M80"/>
  <c r="L80"/>
  <c r="K80"/>
  <c r="J80"/>
  <c r="I80"/>
  <c r="H80"/>
  <c r="G80"/>
  <c r="F80"/>
  <c r="E80"/>
  <c r="D80"/>
  <c r="W79"/>
  <c r="V79"/>
  <c r="U79"/>
  <c r="T79"/>
  <c r="S79"/>
  <c r="R79"/>
  <c r="Q79"/>
  <c r="P79"/>
  <c r="O79"/>
  <c r="N79"/>
  <c r="M79"/>
  <c r="L79"/>
  <c r="K79"/>
  <c r="J79"/>
  <c r="I79"/>
  <c r="H79"/>
  <c r="G79"/>
  <c r="F79"/>
  <c r="E79"/>
  <c r="D79"/>
  <c r="W78"/>
  <c r="V78"/>
  <c r="U78"/>
  <c r="T78"/>
  <c r="S78"/>
  <c r="R78"/>
  <c r="Q78"/>
  <c r="P78"/>
  <c r="O78"/>
  <c r="N78"/>
  <c r="M78"/>
  <c r="L78"/>
  <c r="K78"/>
  <c r="J78"/>
  <c r="I78"/>
  <c r="H78"/>
  <c r="G78"/>
  <c r="F78"/>
  <c r="E78"/>
  <c r="D78"/>
  <c r="W77"/>
  <c r="V77"/>
  <c r="U77"/>
  <c r="T77"/>
  <c r="S77"/>
  <c r="R77"/>
  <c r="Q77"/>
  <c r="P77"/>
  <c r="O77"/>
  <c r="N77"/>
  <c r="M77"/>
  <c r="L77"/>
  <c r="K77"/>
  <c r="J77"/>
  <c r="I77"/>
  <c r="H77"/>
  <c r="G77"/>
  <c r="F77"/>
  <c r="E77"/>
  <c r="D77"/>
  <c r="W76"/>
  <c r="V76"/>
  <c r="U76"/>
  <c r="T76"/>
  <c r="S76"/>
  <c r="R76"/>
  <c r="Q76"/>
  <c r="P76"/>
  <c r="O76"/>
  <c r="N76"/>
  <c r="M76"/>
  <c r="L76"/>
  <c r="K76"/>
  <c r="J76"/>
  <c r="I76"/>
  <c r="H76"/>
  <c r="G76"/>
  <c r="F76"/>
  <c r="E76"/>
  <c r="D76"/>
  <c r="W75"/>
  <c r="V75"/>
  <c r="U75"/>
  <c r="T75"/>
  <c r="S75"/>
  <c r="R75"/>
  <c r="Q75"/>
  <c r="P75"/>
  <c r="O75"/>
  <c r="N75"/>
  <c r="M75"/>
  <c r="L75"/>
  <c r="K75"/>
  <c r="J75"/>
  <c r="I75"/>
  <c r="H75"/>
  <c r="G75"/>
  <c r="F75"/>
  <c r="E75"/>
  <c r="D75"/>
  <c r="W74"/>
  <c r="V74"/>
  <c r="U74"/>
  <c r="T74"/>
  <c r="S74"/>
  <c r="R74"/>
  <c r="Q74"/>
  <c r="P74"/>
  <c r="O74"/>
  <c r="N74"/>
  <c r="M74"/>
  <c r="L74"/>
  <c r="K74"/>
  <c r="J74"/>
  <c r="I74"/>
  <c r="H74"/>
  <c r="G74"/>
  <c r="F74"/>
  <c r="E74"/>
  <c r="D74"/>
  <c r="W73"/>
  <c r="V73"/>
  <c r="U73"/>
  <c r="T73"/>
  <c r="S73"/>
  <c r="R73"/>
  <c r="Q73"/>
  <c r="P73"/>
  <c r="O73"/>
  <c r="N73"/>
  <c r="M73"/>
  <c r="L73"/>
  <c r="K73"/>
  <c r="J73"/>
  <c r="I73"/>
  <c r="H73"/>
  <c r="G73"/>
  <c r="F73"/>
  <c r="E73"/>
  <c r="D73"/>
  <c r="W72"/>
  <c r="V72"/>
  <c r="U72"/>
  <c r="T72"/>
  <c r="S72"/>
  <c r="R72"/>
  <c r="Q72"/>
  <c r="P72"/>
  <c r="O72"/>
  <c r="N72"/>
  <c r="M72"/>
  <c r="L72"/>
  <c r="K72"/>
  <c r="J72"/>
  <c r="I72"/>
  <c r="H72"/>
  <c r="G72"/>
  <c r="F72"/>
  <c r="E72"/>
  <c r="D72"/>
  <c r="W71"/>
  <c r="V71"/>
  <c r="U71"/>
  <c r="T71"/>
  <c r="S71"/>
  <c r="R71"/>
  <c r="Q71"/>
  <c r="P71"/>
  <c r="O71"/>
  <c r="N71"/>
  <c r="M71"/>
  <c r="L71"/>
  <c r="K71"/>
  <c r="J71"/>
  <c r="I71"/>
  <c r="H71"/>
  <c r="G71"/>
  <c r="F71"/>
  <c r="E71"/>
  <c r="D71"/>
  <c r="W70"/>
  <c r="V70"/>
  <c r="U70"/>
  <c r="T70"/>
  <c r="S70"/>
  <c r="R70"/>
  <c r="Q70"/>
  <c r="P70"/>
  <c r="O70"/>
  <c r="N70"/>
  <c r="M70"/>
  <c r="L70"/>
  <c r="K70"/>
  <c r="J70"/>
  <c r="I70"/>
  <c r="H70"/>
  <c r="G70"/>
  <c r="F70"/>
  <c r="E70"/>
  <c r="D70"/>
  <c r="W69"/>
  <c r="V69"/>
  <c r="U69"/>
  <c r="T69"/>
  <c r="S69"/>
  <c r="R69"/>
  <c r="Q69"/>
  <c r="P69"/>
  <c r="O69"/>
  <c r="N69"/>
  <c r="M69"/>
  <c r="L69"/>
  <c r="K69"/>
  <c r="J69"/>
  <c r="I69"/>
  <c r="H69"/>
  <c r="G69"/>
  <c r="F69"/>
  <c r="E69"/>
  <c r="D69"/>
  <c r="W68"/>
  <c r="V68"/>
  <c r="U68"/>
  <c r="T68"/>
  <c r="S68"/>
  <c r="R68"/>
  <c r="Q68"/>
  <c r="P68"/>
  <c r="O68"/>
  <c r="N68"/>
  <c r="M68"/>
  <c r="L68"/>
  <c r="K68"/>
  <c r="J68"/>
  <c r="I68"/>
  <c r="H68"/>
  <c r="G68"/>
  <c r="F68"/>
  <c r="E68"/>
  <c r="D68"/>
  <c r="W67"/>
  <c r="V67"/>
  <c r="U67"/>
  <c r="T67"/>
  <c r="S67"/>
  <c r="R67"/>
  <c r="Q67"/>
  <c r="P67"/>
  <c r="O67"/>
  <c r="N67"/>
  <c r="M67"/>
  <c r="L67"/>
  <c r="K67"/>
  <c r="J67"/>
  <c r="I67"/>
  <c r="H67"/>
  <c r="G67"/>
  <c r="F67"/>
  <c r="E67"/>
  <c r="D67"/>
  <c r="W66"/>
  <c r="V66"/>
  <c r="U66"/>
  <c r="T66"/>
  <c r="S66"/>
  <c r="R66"/>
  <c r="Q66"/>
  <c r="P66"/>
  <c r="O66"/>
  <c r="N66"/>
  <c r="M66"/>
  <c r="L66"/>
  <c r="K66"/>
  <c r="J66"/>
  <c r="I66"/>
  <c r="H66"/>
  <c r="G66"/>
  <c r="F66"/>
  <c r="E66"/>
  <c r="D66"/>
  <c r="W65"/>
  <c r="V65"/>
  <c r="U65"/>
  <c r="T65"/>
  <c r="S65"/>
  <c r="R65"/>
  <c r="Q65"/>
  <c r="P65"/>
  <c r="O65"/>
  <c r="N65"/>
  <c r="M65"/>
  <c r="L65"/>
  <c r="K65"/>
  <c r="J65"/>
  <c r="I65"/>
  <c r="H65"/>
  <c r="G65"/>
  <c r="F65"/>
  <c r="E65"/>
  <c r="D65"/>
  <c r="W64"/>
  <c r="V64"/>
  <c r="U64"/>
  <c r="T64"/>
  <c r="S64"/>
  <c r="R64"/>
  <c r="Q64"/>
  <c r="P64"/>
  <c r="O64"/>
  <c r="N64"/>
  <c r="M64"/>
  <c r="L64"/>
  <c r="K64"/>
  <c r="J64"/>
  <c r="I64"/>
  <c r="H64"/>
  <c r="G64"/>
  <c r="F64"/>
  <c r="E64"/>
  <c r="D64"/>
  <c r="W63"/>
  <c r="V63"/>
  <c r="U63"/>
  <c r="T63"/>
  <c r="S63"/>
  <c r="R63"/>
  <c r="Q63"/>
  <c r="P63"/>
  <c r="O63"/>
  <c r="N63"/>
  <c r="M63"/>
  <c r="L63"/>
  <c r="K63"/>
  <c r="J63"/>
  <c r="I63"/>
  <c r="H63"/>
  <c r="G63"/>
  <c r="F63"/>
  <c r="E63"/>
  <c r="D63"/>
  <c r="W62"/>
  <c r="V62"/>
  <c r="U62"/>
  <c r="T62"/>
  <c r="S62"/>
  <c r="R62"/>
  <c r="Q62"/>
  <c r="P62"/>
  <c r="O62"/>
  <c r="N62"/>
  <c r="M62"/>
  <c r="L62"/>
  <c r="K62"/>
  <c r="J62"/>
  <c r="I62"/>
  <c r="H62"/>
  <c r="G62"/>
  <c r="F62"/>
  <c r="E62"/>
  <c r="D62"/>
  <c r="W61"/>
  <c r="V61"/>
  <c r="U61"/>
  <c r="T61"/>
  <c r="S61"/>
  <c r="R61"/>
  <c r="Q61"/>
  <c r="P61"/>
  <c r="O61"/>
  <c r="N61"/>
  <c r="M61"/>
  <c r="L61"/>
  <c r="K61"/>
  <c r="J61"/>
  <c r="I61"/>
  <c r="H61"/>
  <c r="G61"/>
  <c r="F61"/>
  <c r="E61"/>
  <c r="D61"/>
  <c r="W60"/>
  <c r="V60"/>
  <c r="U60"/>
  <c r="T60"/>
  <c r="S60"/>
  <c r="R60"/>
  <c r="Q60"/>
  <c r="P60"/>
  <c r="O60"/>
  <c r="N60"/>
  <c r="M60"/>
  <c r="L60"/>
  <c r="K60"/>
  <c r="J60"/>
  <c r="I60"/>
  <c r="H60"/>
  <c r="G60"/>
  <c r="F60"/>
  <c r="E60"/>
  <c r="D60"/>
  <c r="W59"/>
  <c r="V59"/>
  <c r="U59"/>
  <c r="T59"/>
  <c r="S59"/>
  <c r="R59"/>
  <c r="Q59"/>
  <c r="P59"/>
  <c r="O59"/>
  <c r="N59"/>
  <c r="M59"/>
  <c r="L59"/>
  <c r="K59"/>
  <c r="J59"/>
  <c r="I59"/>
  <c r="H59"/>
  <c r="G59"/>
  <c r="F59"/>
  <c r="E59"/>
  <c r="D59"/>
  <c r="W58"/>
  <c r="V58"/>
  <c r="U58"/>
  <c r="T58"/>
  <c r="S58"/>
  <c r="R58"/>
  <c r="Q58"/>
  <c r="P58"/>
  <c r="O58"/>
  <c r="N58"/>
  <c r="M58"/>
  <c r="L58"/>
  <c r="K58"/>
  <c r="J58"/>
  <c r="I58"/>
  <c r="H58"/>
  <c r="G58"/>
  <c r="F58"/>
  <c r="E58"/>
  <c r="D58"/>
  <c r="W57"/>
  <c r="V57"/>
  <c r="U57"/>
  <c r="T57"/>
  <c r="S57"/>
  <c r="R57"/>
  <c r="Q57"/>
  <c r="P57"/>
  <c r="O57"/>
  <c r="N57"/>
  <c r="M57"/>
  <c r="L57"/>
  <c r="K57"/>
  <c r="J57"/>
  <c r="I57"/>
  <c r="H57"/>
  <c r="G57"/>
  <c r="F57"/>
  <c r="E57"/>
  <c r="D57"/>
  <c r="W56"/>
  <c r="V56"/>
  <c r="U56"/>
  <c r="T56"/>
  <c r="S56"/>
  <c r="R56"/>
  <c r="Q56"/>
  <c r="P56"/>
  <c r="O56"/>
  <c r="N56"/>
  <c r="M56"/>
  <c r="L56"/>
  <c r="K56"/>
  <c r="J56"/>
  <c r="I56"/>
  <c r="H56"/>
  <c r="G56"/>
  <c r="F56"/>
  <c r="E56"/>
  <c r="D56"/>
  <c r="W55"/>
  <c r="V55"/>
  <c r="U55"/>
  <c r="T55"/>
  <c r="S55"/>
  <c r="R55"/>
  <c r="Q55"/>
  <c r="P55"/>
  <c r="O55"/>
  <c r="N55"/>
  <c r="M55"/>
  <c r="L55"/>
  <c r="K55"/>
  <c r="J55"/>
  <c r="I55"/>
  <c r="H55"/>
  <c r="G55"/>
  <c r="F55"/>
  <c r="E55"/>
  <c r="D55"/>
  <c r="W54"/>
  <c r="V54"/>
  <c r="U54"/>
  <c r="T54"/>
  <c r="S54"/>
  <c r="R54"/>
  <c r="Q54"/>
  <c r="P54"/>
  <c r="O54"/>
  <c r="N54"/>
  <c r="M54"/>
  <c r="L54"/>
  <c r="K54"/>
  <c r="J54"/>
  <c r="I54"/>
  <c r="H54"/>
  <c r="G54"/>
  <c r="F54"/>
  <c r="E54"/>
  <c r="D54"/>
  <c r="W53"/>
  <c r="V53"/>
  <c r="U53"/>
  <c r="T53"/>
  <c r="S53"/>
  <c r="R53"/>
  <c r="Q53"/>
  <c r="P53"/>
  <c r="O53"/>
  <c r="N53"/>
  <c r="M53"/>
  <c r="L53"/>
  <c r="K53"/>
  <c r="J53"/>
  <c r="I53"/>
  <c r="H53"/>
  <c r="G53"/>
  <c r="F53"/>
  <c r="E53"/>
  <c r="D53"/>
  <c r="W52"/>
  <c r="V52"/>
  <c r="U52"/>
  <c r="T52"/>
  <c r="S52"/>
  <c r="R52"/>
  <c r="Q52"/>
  <c r="P52"/>
  <c r="O52"/>
  <c r="N52"/>
  <c r="M52"/>
  <c r="L52"/>
  <c r="K52"/>
  <c r="J52"/>
  <c r="I52"/>
  <c r="H52"/>
  <c r="G52"/>
  <c r="F52"/>
  <c r="E52"/>
  <c r="D52"/>
  <c r="W51"/>
  <c r="V51"/>
  <c r="U51"/>
  <c r="T51"/>
  <c r="S51"/>
  <c r="R51"/>
  <c r="Q51"/>
  <c r="P51"/>
  <c r="O51"/>
  <c r="N51"/>
  <c r="M51"/>
  <c r="L51"/>
  <c r="K51"/>
  <c r="J51"/>
  <c r="I51"/>
  <c r="H51"/>
  <c r="G51"/>
  <c r="F51"/>
  <c r="E51"/>
  <c r="D51"/>
  <c r="W50"/>
  <c r="V50"/>
  <c r="U50"/>
  <c r="T50"/>
  <c r="S50"/>
  <c r="R50"/>
  <c r="Q50"/>
  <c r="P50"/>
  <c r="O50"/>
  <c r="N50"/>
  <c r="M50"/>
  <c r="L50"/>
  <c r="K50"/>
  <c r="J50"/>
  <c r="I50"/>
  <c r="H50"/>
  <c r="G50"/>
  <c r="F50"/>
  <c r="E50"/>
  <c r="D50"/>
  <c r="W49"/>
  <c r="V49"/>
  <c r="U49"/>
  <c r="T49"/>
  <c r="S49"/>
  <c r="R49"/>
  <c r="Q49"/>
  <c r="P49"/>
  <c r="O49"/>
  <c r="N49"/>
  <c r="M49"/>
  <c r="L49"/>
  <c r="K49"/>
  <c r="J49"/>
  <c r="I49"/>
  <c r="H49"/>
  <c r="G49"/>
  <c r="F49"/>
  <c r="E49"/>
  <c r="D49"/>
  <c r="W48"/>
  <c r="V48"/>
  <c r="U48"/>
  <c r="T48"/>
  <c r="S48"/>
  <c r="R48"/>
  <c r="Q48"/>
  <c r="P48"/>
  <c r="O48"/>
  <c r="N48"/>
  <c r="M48"/>
  <c r="L48"/>
  <c r="K48"/>
  <c r="J48"/>
  <c r="I48"/>
  <c r="H48"/>
  <c r="G48"/>
  <c r="F48"/>
  <c r="E48"/>
  <c r="D48"/>
  <c r="W47"/>
  <c r="V47"/>
  <c r="U47"/>
  <c r="T47"/>
  <c r="S47"/>
  <c r="R47"/>
  <c r="Q47"/>
  <c r="P47"/>
  <c r="O47"/>
  <c r="N47"/>
  <c r="M47"/>
  <c r="L47"/>
  <c r="K47"/>
  <c r="J47"/>
  <c r="I47"/>
  <c r="H47"/>
  <c r="G47"/>
  <c r="F47"/>
  <c r="E47"/>
  <c r="D47"/>
  <c r="W46"/>
  <c r="V46"/>
  <c r="U46"/>
  <c r="T46"/>
  <c r="S46"/>
  <c r="R46"/>
  <c r="Q46"/>
  <c r="P46"/>
  <c r="O46"/>
  <c r="N46"/>
  <c r="M46"/>
  <c r="L46"/>
  <c r="K46"/>
  <c r="J46"/>
  <c r="I46"/>
  <c r="H46"/>
  <c r="G46"/>
  <c r="F46"/>
  <c r="E46"/>
  <c r="D46"/>
  <c r="W45"/>
  <c r="V45"/>
  <c r="U45"/>
  <c r="T45"/>
  <c r="S45"/>
  <c r="R45"/>
  <c r="Q45"/>
  <c r="P45"/>
  <c r="O45"/>
  <c r="N45"/>
  <c r="M45"/>
  <c r="L45"/>
  <c r="K45"/>
  <c r="J45"/>
  <c r="I45"/>
  <c r="H45"/>
  <c r="G45"/>
  <c r="F45"/>
  <c r="E45"/>
  <c r="D45"/>
  <c r="W44"/>
  <c r="V44"/>
  <c r="U44"/>
  <c r="T44"/>
  <c r="S44"/>
  <c r="R44"/>
  <c r="Q44"/>
  <c r="P44"/>
  <c r="O44"/>
  <c r="N44"/>
  <c r="M44"/>
  <c r="L44"/>
  <c r="K44"/>
  <c r="J44"/>
  <c r="I44"/>
  <c r="H44"/>
  <c r="G44"/>
  <c r="F44"/>
  <c r="E44"/>
  <c r="D44"/>
  <c r="W43"/>
  <c r="V43"/>
  <c r="U43"/>
  <c r="T43"/>
  <c r="S43"/>
  <c r="R43"/>
  <c r="Q43"/>
  <c r="P43"/>
  <c r="O43"/>
  <c r="N43"/>
  <c r="M43"/>
  <c r="L43"/>
  <c r="K43"/>
  <c r="J43"/>
  <c r="I43"/>
  <c r="H43"/>
  <c r="G43"/>
  <c r="F43"/>
  <c r="E43"/>
  <c r="D43"/>
  <c r="W42"/>
  <c r="V42"/>
  <c r="U42"/>
  <c r="T42"/>
  <c r="S42"/>
  <c r="R42"/>
  <c r="Q42"/>
  <c r="P42"/>
  <c r="O42"/>
  <c r="N42"/>
  <c r="M42"/>
  <c r="L42"/>
  <c r="K42"/>
  <c r="J42"/>
  <c r="I42"/>
  <c r="H42"/>
  <c r="G42"/>
  <c r="F42"/>
  <c r="E42"/>
  <c r="D42"/>
  <c r="W41"/>
  <c r="V41"/>
  <c r="U41"/>
  <c r="T41"/>
  <c r="S41"/>
  <c r="R41"/>
  <c r="Q41"/>
  <c r="P41"/>
  <c r="O41"/>
  <c r="N41"/>
  <c r="M41"/>
  <c r="L41"/>
  <c r="K41"/>
  <c r="J41"/>
  <c r="I41"/>
  <c r="H41"/>
  <c r="G41"/>
  <c r="F41"/>
  <c r="E41"/>
  <c r="D41"/>
  <c r="W40"/>
  <c r="V40"/>
  <c r="U40"/>
  <c r="T40"/>
  <c r="S40"/>
  <c r="R40"/>
  <c r="Q40"/>
  <c r="P40"/>
  <c r="O40"/>
  <c r="N40"/>
  <c r="M40"/>
  <c r="L40"/>
  <c r="K40"/>
  <c r="J40"/>
  <c r="I40"/>
  <c r="H40"/>
  <c r="G40"/>
  <c r="F40"/>
  <c r="E40"/>
  <c r="D40"/>
  <c r="W39"/>
  <c r="V39"/>
  <c r="U39"/>
  <c r="T39"/>
  <c r="S39"/>
  <c r="R39"/>
  <c r="Q39"/>
  <c r="P39"/>
  <c r="O39"/>
  <c r="N39"/>
  <c r="M39"/>
  <c r="L39"/>
  <c r="K39"/>
  <c r="J39"/>
  <c r="I39"/>
  <c r="H39"/>
  <c r="G39"/>
  <c r="F39"/>
  <c r="E39"/>
  <c r="D39"/>
  <c r="W38"/>
  <c r="V38"/>
  <c r="U38"/>
  <c r="T38"/>
  <c r="S38"/>
  <c r="R38"/>
  <c r="Q38"/>
  <c r="P38"/>
  <c r="O38"/>
  <c r="N38"/>
  <c r="M38"/>
  <c r="L38"/>
  <c r="K38"/>
  <c r="J38"/>
  <c r="I38"/>
  <c r="H38"/>
  <c r="G38"/>
  <c r="F38"/>
  <c r="E38"/>
  <c r="D38"/>
  <c r="W37"/>
  <c r="V37"/>
  <c r="U37"/>
  <c r="T37"/>
  <c r="S37"/>
  <c r="R37"/>
  <c r="Q37"/>
  <c r="P37"/>
  <c r="O37"/>
  <c r="N37"/>
  <c r="M37"/>
  <c r="L37"/>
  <c r="K37"/>
  <c r="J37"/>
  <c r="I37"/>
  <c r="H37"/>
  <c r="G37"/>
  <c r="F37"/>
  <c r="E37"/>
  <c r="D37"/>
  <c r="W36"/>
  <c r="V36"/>
  <c r="U36"/>
  <c r="T36"/>
  <c r="S36"/>
  <c r="R36"/>
  <c r="Q36"/>
  <c r="P36"/>
  <c r="O36"/>
  <c r="N36"/>
  <c r="M36"/>
  <c r="L36"/>
  <c r="K36"/>
  <c r="J36"/>
  <c r="I36"/>
  <c r="H36"/>
  <c r="G36"/>
  <c r="F36"/>
  <c r="E36"/>
  <c r="D36"/>
  <c r="W35"/>
  <c r="V35"/>
  <c r="U35"/>
  <c r="T35"/>
  <c r="S35"/>
  <c r="R35"/>
  <c r="Q35"/>
  <c r="P35"/>
  <c r="O35"/>
  <c r="N35"/>
  <c r="M35"/>
  <c r="L35"/>
  <c r="K35"/>
  <c r="J35"/>
  <c r="I35"/>
  <c r="H35"/>
  <c r="G35"/>
  <c r="F35"/>
  <c r="E35"/>
  <c r="D35"/>
  <c r="W34"/>
  <c r="V34"/>
  <c r="U34"/>
  <c r="T34"/>
  <c r="S34"/>
  <c r="R34"/>
  <c r="Q34"/>
  <c r="P34"/>
  <c r="O34"/>
  <c r="N34"/>
  <c r="M34"/>
  <c r="L34"/>
  <c r="K34"/>
  <c r="J34"/>
  <c r="I34"/>
  <c r="H34"/>
  <c r="G34"/>
  <c r="F34"/>
  <c r="E34"/>
  <c r="D34"/>
  <c r="W33"/>
  <c r="V33"/>
  <c r="U33"/>
  <c r="T33"/>
  <c r="S33"/>
  <c r="R33"/>
  <c r="Q33"/>
  <c r="P33"/>
  <c r="O33"/>
  <c r="N33"/>
  <c r="M33"/>
  <c r="L33"/>
  <c r="K33"/>
  <c r="J33"/>
  <c r="I33"/>
  <c r="H33"/>
  <c r="G33"/>
  <c r="F33"/>
  <c r="E33"/>
  <c r="D33"/>
  <c r="W32"/>
  <c r="V32"/>
  <c r="U32"/>
  <c r="T32"/>
  <c r="S32"/>
  <c r="R32"/>
  <c r="Q32"/>
  <c r="P32"/>
  <c r="O32"/>
  <c r="N32"/>
  <c r="M32"/>
  <c r="L32"/>
  <c r="K32"/>
  <c r="J32"/>
  <c r="I32"/>
  <c r="H32"/>
  <c r="G32"/>
  <c r="F32"/>
  <c r="E32"/>
  <c r="D32"/>
  <c r="W31"/>
  <c r="V31"/>
  <c r="U31"/>
  <c r="T31"/>
  <c r="S31"/>
  <c r="R31"/>
  <c r="Q31"/>
  <c r="P31"/>
  <c r="O31"/>
  <c r="N31"/>
  <c r="M31"/>
  <c r="L31"/>
  <c r="K31"/>
  <c r="J31"/>
  <c r="I31"/>
  <c r="H31"/>
  <c r="G31"/>
  <c r="F31"/>
  <c r="E31"/>
  <c r="D31"/>
  <c r="W30"/>
  <c r="V30"/>
  <c r="U30"/>
  <c r="T30"/>
  <c r="S30"/>
  <c r="R30"/>
  <c r="Q30"/>
  <c r="P30"/>
  <c r="O30"/>
  <c r="N30"/>
  <c r="M30"/>
  <c r="L30"/>
  <c r="K30"/>
  <c r="J30"/>
  <c r="I30"/>
  <c r="H30"/>
  <c r="G30"/>
  <c r="F30"/>
  <c r="E30"/>
  <c r="D30"/>
  <c r="W29"/>
  <c r="V29"/>
  <c r="U29"/>
  <c r="T29"/>
  <c r="S29"/>
  <c r="R29"/>
  <c r="Q29"/>
  <c r="P29"/>
  <c r="O29"/>
  <c r="N29"/>
  <c r="M29"/>
  <c r="L29"/>
  <c r="K29"/>
  <c r="J29"/>
  <c r="I29"/>
  <c r="H29"/>
  <c r="G29"/>
  <c r="F29"/>
  <c r="E29"/>
  <c r="D29"/>
  <c r="W28"/>
  <c r="V28"/>
  <c r="U28"/>
  <c r="T28"/>
  <c r="S28"/>
  <c r="R28"/>
  <c r="Q28"/>
  <c r="P28"/>
  <c r="O28"/>
  <c r="N28"/>
  <c r="M28"/>
  <c r="L28"/>
  <c r="K28"/>
  <c r="J28"/>
  <c r="I28"/>
  <c r="H28"/>
  <c r="G28"/>
  <c r="F28"/>
  <c r="E28"/>
  <c r="D28"/>
  <c r="W27"/>
  <c r="V27"/>
  <c r="U27"/>
  <c r="T27"/>
  <c r="S27"/>
  <c r="R27"/>
  <c r="Q27"/>
  <c r="P27"/>
  <c r="O27"/>
  <c r="N27"/>
  <c r="M27"/>
  <c r="L27"/>
  <c r="K27"/>
  <c r="J27"/>
  <c r="I27"/>
  <c r="H27"/>
  <c r="G27"/>
  <c r="F27"/>
  <c r="E27"/>
  <c r="D27"/>
  <c r="W26"/>
  <c r="V26"/>
  <c r="U26"/>
  <c r="T26"/>
  <c r="S26"/>
  <c r="R26"/>
  <c r="Q26"/>
  <c r="P26"/>
  <c r="O26"/>
  <c r="N26"/>
  <c r="M26"/>
  <c r="L26"/>
  <c r="K26"/>
  <c r="J26"/>
  <c r="I26"/>
  <c r="H26"/>
  <c r="G26"/>
  <c r="F26"/>
  <c r="E26"/>
  <c r="D26"/>
  <c r="W25"/>
  <c r="V25"/>
  <c r="U25"/>
  <c r="T25"/>
  <c r="S25"/>
  <c r="R25"/>
  <c r="Q25"/>
  <c r="P25"/>
  <c r="O25"/>
  <c r="N25"/>
  <c r="M25"/>
  <c r="L25"/>
  <c r="K25"/>
  <c r="J25"/>
  <c r="I25"/>
  <c r="H25"/>
  <c r="G25"/>
  <c r="F25"/>
  <c r="E25"/>
  <c r="D25"/>
  <c r="W24"/>
  <c r="V24"/>
  <c r="U24"/>
  <c r="T24"/>
  <c r="S24"/>
  <c r="R24"/>
  <c r="Q24"/>
  <c r="P24"/>
  <c r="O24"/>
  <c r="N24"/>
  <c r="M24"/>
  <c r="L24"/>
  <c r="K24"/>
  <c r="J24"/>
  <c r="I24"/>
  <c r="H24"/>
  <c r="G24"/>
  <c r="F24"/>
  <c r="E24"/>
  <c r="D24"/>
  <c r="W23"/>
  <c r="V23"/>
  <c r="U23"/>
  <c r="T23"/>
  <c r="S23"/>
  <c r="R23"/>
  <c r="Q23"/>
  <c r="P23"/>
  <c r="O23"/>
  <c r="N23"/>
  <c r="M23"/>
  <c r="L23"/>
  <c r="K23"/>
  <c r="J23"/>
  <c r="I23"/>
  <c r="H23"/>
  <c r="G23"/>
  <c r="F23"/>
  <c r="E23"/>
  <c r="D23"/>
  <c r="W22"/>
  <c r="V22"/>
  <c r="U22"/>
  <c r="T22"/>
  <c r="S22"/>
  <c r="R22"/>
  <c r="Q22"/>
  <c r="P22"/>
  <c r="O22"/>
  <c r="N22"/>
  <c r="M22"/>
  <c r="L22"/>
  <c r="K22"/>
  <c r="J22"/>
  <c r="I22"/>
  <c r="H22"/>
  <c r="G22"/>
  <c r="F22"/>
  <c r="E22"/>
  <c r="D22"/>
  <c r="W21"/>
  <c r="V21"/>
  <c r="U21"/>
  <c r="T21"/>
  <c r="S21"/>
  <c r="R21"/>
  <c r="Q21"/>
  <c r="P21"/>
  <c r="O21"/>
  <c r="N21"/>
  <c r="M21"/>
  <c r="L21"/>
  <c r="K21"/>
  <c r="J21"/>
  <c r="I21"/>
  <c r="H21"/>
  <c r="G21"/>
  <c r="F21"/>
  <c r="E21"/>
  <c r="D21"/>
  <c r="W20"/>
  <c r="V20"/>
  <c r="U20"/>
  <c r="T20"/>
  <c r="S20"/>
  <c r="R20"/>
  <c r="Q20"/>
  <c r="P20"/>
  <c r="O20"/>
  <c r="N20"/>
  <c r="M20"/>
  <c r="L20"/>
  <c r="K20"/>
  <c r="J20"/>
  <c r="I20"/>
  <c r="H20"/>
  <c r="G20"/>
  <c r="F20"/>
  <c r="E20"/>
  <c r="D20"/>
  <c r="H17"/>
  <c r="G17"/>
  <c r="F17"/>
  <c r="E17"/>
  <c r="D17"/>
  <c r="C65" i="1"/>
  <c r="C65" i="59" s="1"/>
  <c r="C64" i="1"/>
  <c r="C64" i="59" s="1"/>
  <c r="C89"/>
  <c r="D16" i="7"/>
  <c r="D27"/>
  <c r="E27" s="1"/>
  <c r="D15"/>
  <c r="D26"/>
  <c r="D103" s="1"/>
  <c r="D14"/>
  <c r="D21"/>
  <c r="E21" s="1"/>
  <c r="E98" s="1"/>
  <c r="D25"/>
  <c r="D102" s="1"/>
  <c r="D13"/>
  <c r="D20"/>
  <c r="D24"/>
  <c r="E24" s="1"/>
  <c r="E101" s="1"/>
  <c r="D11"/>
  <c r="D18"/>
  <c r="E18" s="1"/>
  <c r="E95" s="1"/>
  <c r="D22"/>
  <c r="D99" s="1"/>
  <c r="D12"/>
  <c r="D19"/>
  <c r="E19" s="1"/>
  <c r="E96" s="1"/>
  <c r="D23"/>
  <c r="E23" s="1"/>
  <c r="E100" s="1"/>
  <c r="F28"/>
  <c r="F17"/>
  <c r="F35"/>
  <c r="F13"/>
  <c r="F20"/>
  <c r="F97" s="1"/>
  <c r="F24"/>
  <c r="F12"/>
  <c r="F19"/>
  <c r="F96" s="1"/>
  <c r="F23"/>
  <c r="F100" s="1"/>
  <c r="F16"/>
  <c r="F27"/>
  <c r="F104" s="1"/>
  <c r="F15"/>
  <c r="F26"/>
  <c r="F103" s="1"/>
  <c r="F11"/>
  <c r="F18"/>
  <c r="F95" s="1"/>
  <c r="F22"/>
  <c r="F99" s="1"/>
  <c r="F14"/>
  <c r="F21"/>
  <c r="F98" s="1"/>
  <c r="F25"/>
  <c r="F102" s="1"/>
  <c r="C28"/>
  <c r="F42"/>
  <c r="F119" s="1"/>
  <c r="C17"/>
  <c r="C35"/>
  <c r="C42"/>
  <c r="F61" i="1"/>
  <c r="E61"/>
  <c r="D61"/>
  <c r="C61"/>
  <c r="F60"/>
  <c r="E60"/>
  <c r="D60"/>
  <c r="C60"/>
  <c r="Y16" i="55"/>
  <c r="G19" i="4"/>
  <c r="G22"/>
  <c r="G23"/>
  <c r="G24"/>
  <c r="G25"/>
  <c r="G27"/>
  <c r="G31"/>
  <c r="G32"/>
  <c r="G33"/>
  <c r="G35"/>
  <c r="G36"/>
  <c r="G37"/>
  <c r="G38"/>
  <c r="G39"/>
  <c r="G40"/>
  <c r="G43"/>
  <c r="G44"/>
  <c r="G45"/>
  <c r="G46"/>
  <c r="G47"/>
  <c r="G48"/>
  <c r="G49"/>
  <c r="G50"/>
  <c r="G51"/>
  <c r="G52"/>
  <c r="G53"/>
  <c r="G54"/>
  <c r="G55"/>
  <c r="G56"/>
  <c r="G57"/>
  <c r="G58"/>
  <c r="G59"/>
  <c r="G60"/>
  <c r="G61"/>
  <c r="G62"/>
  <c r="G65"/>
  <c r="G66"/>
  <c r="G67"/>
  <c r="G68"/>
  <c r="G69"/>
  <c r="G70"/>
  <c r="G71"/>
  <c r="G73"/>
  <c r="G74"/>
  <c r="G75"/>
  <c r="G77"/>
  <c r="C23"/>
  <c r="C27"/>
  <c r="C38"/>
  <c r="C46"/>
  <c r="C50"/>
  <c r="C54"/>
  <c r="C58"/>
  <c r="C62"/>
  <c r="C67"/>
  <c r="C71"/>
  <c r="C75"/>
  <c r="C9"/>
  <c r="D65" i="56"/>
  <c r="D64"/>
  <c r="C99" i="59"/>
  <c r="C98"/>
  <c r="C97"/>
  <c r="C96"/>
  <c r="C95"/>
  <c r="D98"/>
  <c r="D97"/>
  <c r="D96"/>
  <c r="D95"/>
  <c r="D93" i="1"/>
  <c r="D93" i="59" s="1"/>
  <c r="D90" i="1"/>
  <c r="D90" i="59" s="1"/>
  <c r="D88" i="1"/>
  <c r="D88" i="59" s="1"/>
  <c r="D87" i="1"/>
  <c r="D87" i="59" s="1"/>
  <c r="D86" i="1"/>
  <c r="D86" i="59" s="1"/>
  <c r="D82" i="1"/>
  <c r="D82" i="59" s="1"/>
  <c r="D81" i="1"/>
  <c r="D81" i="59" s="1"/>
  <c r="D78" i="1"/>
  <c r="D78" i="59" s="1"/>
  <c r="F99" i="19"/>
  <c r="F99" i="59" s="1"/>
  <c r="F98" i="19"/>
  <c r="F98" i="59" s="1"/>
  <c r="F97" i="19"/>
  <c r="F97" i="59" s="1"/>
  <c r="F96" i="19"/>
  <c r="F96" i="59" s="1"/>
  <c r="F95" i="19"/>
  <c r="F95" i="59" s="1"/>
  <c r="F94" i="19"/>
  <c r="F94" i="59" s="1"/>
  <c r="F91" i="19"/>
  <c r="F91" i="59" s="1"/>
  <c r="F83" i="19"/>
  <c r="F83" i="59" s="1"/>
  <c r="F80" i="19"/>
  <c r="F80" i="59" s="1"/>
  <c r="F79" i="19"/>
  <c r="F79" i="59" s="1"/>
  <c r="A21" i="55"/>
  <c r="A22"/>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20"/>
  <c r="J47" i="20"/>
  <c r="B87" i="55"/>
  <c r="Z87" s="1"/>
  <c r="B88"/>
  <c r="Z88" s="1"/>
  <c r="Y11"/>
  <c r="Y10"/>
  <c r="Y9"/>
  <c r="Y14"/>
  <c r="C83" i="59"/>
  <c r="D83"/>
  <c r="E83"/>
  <c r="D83" i="56"/>
  <c r="B83" i="1"/>
  <c r="C79" i="59"/>
  <c r="D79"/>
  <c r="E79"/>
  <c r="D79" i="56"/>
  <c r="B79" i="1"/>
  <c r="C80" i="59"/>
  <c r="D80"/>
  <c r="E80"/>
  <c r="E90"/>
  <c r="F90"/>
  <c r="C91"/>
  <c r="D91"/>
  <c r="E91"/>
  <c r="D92"/>
  <c r="E92"/>
  <c r="F92"/>
  <c r="E93"/>
  <c r="F93"/>
  <c r="C94"/>
  <c r="D94"/>
  <c r="E94"/>
  <c r="B83" i="19"/>
  <c r="B83" i="59"/>
  <c r="B79" i="19"/>
  <c r="B79" i="59"/>
  <c r="D61" i="56"/>
  <c r="F145" i="7"/>
  <c r="E145"/>
  <c r="D145"/>
  <c r="C10" i="59"/>
  <c r="D10"/>
  <c r="E10"/>
  <c r="F10"/>
  <c r="C11"/>
  <c r="D11"/>
  <c r="E11"/>
  <c r="F11"/>
  <c r="D21" i="56"/>
  <c r="B21" i="59" s="1"/>
  <c r="C13"/>
  <c r="D13"/>
  <c r="E13"/>
  <c r="F13"/>
  <c r="C14"/>
  <c r="D14"/>
  <c r="E14"/>
  <c r="F14"/>
  <c r="C15"/>
  <c r="D15"/>
  <c r="E15"/>
  <c r="F15"/>
  <c r="C16"/>
  <c r="D16"/>
  <c r="E16"/>
  <c r="F16"/>
  <c r="D17"/>
  <c r="E17"/>
  <c r="F17"/>
  <c r="D18"/>
  <c r="E18"/>
  <c r="F18"/>
  <c r="C19"/>
  <c r="D19"/>
  <c r="E19"/>
  <c r="F19"/>
  <c r="C20"/>
  <c r="D20"/>
  <c r="E20"/>
  <c r="F20"/>
  <c r="C21"/>
  <c r="D21"/>
  <c r="E21"/>
  <c r="F21"/>
  <c r="C22"/>
  <c r="D22"/>
  <c r="E22"/>
  <c r="F22"/>
  <c r="C23"/>
  <c r="D23"/>
  <c r="E23"/>
  <c r="F23"/>
  <c r="C24"/>
  <c r="D24"/>
  <c r="E24"/>
  <c r="F24"/>
  <c r="C25"/>
  <c r="D25"/>
  <c r="E25"/>
  <c r="F25"/>
  <c r="C26"/>
  <c r="D26"/>
  <c r="E26"/>
  <c r="F26"/>
  <c r="C27"/>
  <c r="D27"/>
  <c r="E27"/>
  <c r="F27"/>
  <c r="C28"/>
  <c r="D28"/>
  <c r="E28"/>
  <c r="F28"/>
  <c r="C29"/>
  <c r="D29"/>
  <c r="E29"/>
  <c r="F29"/>
  <c r="C30"/>
  <c r="D30"/>
  <c r="E30"/>
  <c r="F30"/>
  <c r="C31"/>
  <c r="D31"/>
  <c r="E31"/>
  <c r="F31"/>
  <c r="C32"/>
  <c r="D32"/>
  <c r="E32"/>
  <c r="F32"/>
  <c r="C33"/>
  <c r="D33"/>
  <c r="E33"/>
  <c r="F33"/>
  <c r="C34"/>
  <c r="D34"/>
  <c r="E34"/>
  <c r="F34"/>
  <c r="C35"/>
  <c r="D35"/>
  <c r="E35"/>
  <c r="F35"/>
  <c r="C36"/>
  <c r="D36"/>
  <c r="E36"/>
  <c r="F36"/>
  <c r="C37"/>
  <c r="D37"/>
  <c r="E37"/>
  <c r="F37"/>
  <c r="C38"/>
  <c r="D38"/>
  <c r="E38"/>
  <c r="F38"/>
  <c r="C39"/>
  <c r="D39"/>
  <c r="E39"/>
  <c r="F39"/>
  <c r="C40"/>
  <c r="D40"/>
  <c r="E40"/>
  <c r="F40"/>
  <c r="C41"/>
  <c r="D41"/>
  <c r="E41"/>
  <c r="F41"/>
  <c r="C42"/>
  <c r="D42"/>
  <c r="E42"/>
  <c r="F42"/>
  <c r="Y15" i="55"/>
  <c r="Y13"/>
  <c r="Y12"/>
  <c r="Y5"/>
  <c r="Q43" i="7"/>
  <c r="D98" i="1"/>
  <c r="D97"/>
  <c r="D96"/>
  <c r="D95"/>
  <c r="C17" i="19"/>
  <c r="C17" i="59"/>
  <c r="C75"/>
  <c r="D75"/>
  <c r="E75"/>
  <c r="F75"/>
  <c r="C76"/>
  <c r="D76"/>
  <c r="E76"/>
  <c r="F76"/>
  <c r="D76" i="56"/>
  <c r="A76" i="3"/>
  <c r="D75" i="56"/>
  <c r="B75" i="59"/>
  <c r="B75" i="1"/>
  <c r="A75" i="3"/>
  <c r="B76" i="1"/>
  <c r="B76" i="4"/>
  <c r="F76" s="1"/>
  <c r="B76" i="19"/>
  <c r="B76" i="59"/>
  <c r="B76" i="20"/>
  <c r="B77"/>
  <c r="B75" i="4"/>
  <c r="F75" s="1"/>
  <c r="B75" i="19"/>
  <c r="D43" i="56"/>
  <c r="A43" i="3"/>
  <c r="H43" s="1"/>
  <c r="D44" i="56"/>
  <c r="B56" i="55"/>
  <c r="Z56"/>
  <c r="B44" i="1"/>
  <c r="B44" i="4"/>
  <c r="F44" s="1"/>
  <c r="B43" i="1"/>
  <c r="B43" i="37"/>
  <c r="B43" i="4"/>
  <c r="F43" s="1"/>
  <c r="B55" i="55"/>
  <c r="Z55"/>
  <c r="B44" i="59"/>
  <c r="B44" i="19"/>
  <c r="A44" i="3"/>
  <c r="H44"/>
  <c r="F44" s="1"/>
  <c r="B42" i="37"/>
  <c r="B43" i="59"/>
  <c r="B43" i="19"/>
  <c r="B44" i="3"/>
  <c r="C44"/>
  <c r="E44"/>
  <c r="D90" i="56"/>
  <c r="B90" i="1"/>
  <c r="D91" i="56"/>
  <c r="B91" i="19"/>
  <c r="D92" i="56"/>
  <c r="B92" i="59"/>
  <c r="D93" i="56"/>
  <c r="B93" i="59"/>
  <c r="D94" i="56"/>
  <c r="B94" i="1"/>
  <c r="D95" i="56"/>
  <c r="D96"/>
  <c r="D97"/>
  <c r="D80"/>
  <c r="B80" i="19"/>
  <c r="B80" i="59"/>
  <c r="B92" i="19"/>
  <c r="B93"/>
  <c r="B80" i="1"/>
  <c r="B94" i="59"/>
  <c r="B91" i="1"/>
  <c r="B91" i="59"/>
  <c r="B94" i="19"/>
  <c r="B92" i="1"/>
  <c r="B90" i="59"/>
  <c r="B93" i="1"/>
  <c r="C78" i="59"/>
  <c r="E78"/>
  <c r="F78"/>
  <c r="E81"/>
  <c r="F81"/>
  <c r="E82"/>
  <c r="F82"/>
  <c r="D84"/>
  <c r="E84"/>
  <c r="F84"/>
  <c r="D85"/>
  <c r="E85"/>
  <c r="F85"/>
  <c r="C86"/>
  <c r="E86"/>
  <c r="F86"/>
  <c r="E87"/>
  <c r="F87"/>
  <c r="E88"/>
  <c r="F88"/>
  <c r="D89"/>
  <c r="E89"/>
  <c r="F89"/>
  <c r="E95"/>
  <c r="E96"/>
  <c r="E97"/>
  <c r="E98"/>
  <c r="D99"/>
  <c r="E99"/>
  <c r="C100"/>
  <c r="D100"/>
  <c r="E100"/>
  <c r="F100"/>
  <c r="B94" i="37"/>
  <c r="B95"/>
  <c r="B96"/>
  <c r="D86" i="56"/>
  <c r="B86" i="59"/>
  <c r="D78" i="56"/>
  <c r="B78" i="59"/>
  <c r="C61"/>
  <c r="D61"/>
  <c r="E61"/>
  <c r="F61"/>
  <c r="C62"/>
  <c r="D62"/>
  <c r="E62"/>
  <c r="F62"/>
  <c r="C63"/>
  <c r="D63"/>
  <c r="E63"/>
  <c r="F63"/>
  <c r="D64"/>
  <c r="E64"/>
  <c r="F64"/>
  <c r="D65"/>
  <c r="E65"/>
  <c r="F65"/>
  <c r="C66"/>
  <c r="D66"/>
  <c r="E66"/>
  <c r="F66"/>
  <c r="C67"/>
  <c r="D67"/>
  <c r="E67"/>
  <c r="F67"/>
  <c r="C68"/>
  <c r="D68"/>
  <c r="E68"/>
  <c r="F68"/>
  <c r="C69"/>
  <c r="D69"/>
  <c r="E69"/>
  <c r="F69"/>
  <c r="C70"/>
  <c r="D70"/>
  <c r="E70"/>
  <c r="F70"/>
  <c r="C71"/>
  <c r="D71"/>
  <c r="E71"/>
  <c r="F71"/>
  <c r="C72"/>
  <c r="D72"/>
  <c r="E72"/>
  <c r="F72"/>
  <c r="C73"/>
  <c r="D73"/>
  <c r="E73"/>
  <c r="F73"/>
  <c r="C74"/>
  <c r="D74"/>
  <c r="E74"/>
  <c r="F74"/>
  <c r="C77"/>
  <c r="D77"/>
  <c r="E77"/>
  <c r="F77"/>
  <c r="B86" i="1"/>
  <c r="B86" i="19"/>
  <c r="B80" i="37"/>
  <c r="B78" i="1"/>
  <c r="B75" i="37"/>
  <c r="B78" i="19"/>
  <c r="C45" i="59"/>
  <c r="D45"/>
  <c r="E45"/>
  <c r="F45"/>
  <c r="C46"/>
  <c r="D46"/>
  <c r="E46"/>
  <c r="F46"/>
  <c r="C47"/>
  <c r="D47"/>
  <c r="E47"/>
  <c r="F47"/>
  <c r="C48"/>
  <c r="D48"/>
  <c r="E48"/>
  <c r="F48"/>
  <c r="C49"/>
  <c r="D49"/>
  <c r="E49"/>
  <c r="F49"/>
  <c r="C50"/>
  <c r="D50"/>
  <c r="E50"/>
  <c r="F50"/>
  <c r="D51"/>
  <c r="E51"/>
  <c r="D52"/>
  <c r="E52"/>
  <c r="C53"/>
  <c r="D53"/>
  <c r="E53"/>
  <c r="F53"/>
  <c r="C54"/>
  <c r="D54"/>
  <c r="E54"/>
  <c r="F54"/>
  <c r="C55"/>
  <c r="D55"/>
  <c r="E55"/>
  <c r="F55"/>
  <c r="C56"/>
  <c r="D56"/>
  <c r="E56"/>
  <c r="F56"/>
  <c r="C57"/>
  <c r="D57"/>
  <c r="E57"/>
  <c r="F57"/>
  <c r="C58"/>
  <c r="D58"/>
  <c r="E58"/>
  <c r="F58"/>
  <c r="C59"/>
  <c r="D59"/>
  <c r="E59"/>
  <c r="F59"/>
  <c r="C60"/>
  <c r="D60"/>
  <c r="E60"/>
  <c r="F60"/>
  <c r="D42" i="56"/>
  <c r="D41"/>
  <c r="B42" i="20"/>
  <c r="A41" i="3"/>
  <c r="H41"/>
  <c r="D41" s="1"/>
  <c r="B41" i="4"/>
  <c r="F41" s="1"/>
  <c r="B43" i="20"/>
  <c r="A42" i="3"/>
  <c r="H42"/>
  <c r="E42" s="1"/>
  <c r="B42" i="4"/>
  <c r="F42" s="1"/>
  <c r="B41" i="1"/>
  <c r="B40" i="37"/>
  <c r="B41" i="59"/>
  <c r="B54" i="55"/>
  <c r="Z54" s="1"/>
  <c r="B41" i="37"/>
  <c r="B42" i="19"/>
  <c r="B41"/>
  <c r="B42" i="59"/>
  <c r="B42" i="1"/>
  <c r="B53" i="55"/>
  <c r="Z53"/>
  <c r="F42" i="3"/>
  <c r="D42"/>
  <c r="E41"/>
  <c r="F41"/>
  <c r="C12" i="59"/>
  <c r="D12"/>
  <c r="E12"/>
  <c r="F12"/>
  <c r="G47" i="7"/>
  <c r="C124"/>
  <c r="F124"/>
  <c r="E124"/>
  <c r="D124"/>
  <c r="B124"/>
  <c r="B47"/>
  <c r="D74" i="56"/>
  <c r="B74" i="4"/>
  <c r="F74" s="1"/>
  <c r="D73" i="56"/>
  <c r="B73" i="4"/>
  <c r="F73" s="1"/>
  <c r="B73" i="37"/>
  <c r="B74" i="59"/>
  <c r="B75" i="20"/>
  <c r="B72" i="37"/>
  <c r="B74" i="20"/>
  <c r="B73" i="59"/>
  <c r="A73" i="3"/>
  <c r="H73" s="1"/>
  <c r="B85" i="55"/>
  <c r="Z85"/>
  <c r="A74" i="3"/>
  <c r="H74" s="1"/>
  <c r="B86" i="55"/>
  <c r="Z86"/>
  <c r="B73" i="19"/>
  <c r="B74"/>
  <c r="B73" i="1"/>
  <c r="B74"/>
  <c r="C134" i="7"/>
  <c r="B135"/>
  <c r="C136"/>
  <c r="B138"/>
  <c r="B139"/>
  <c r="B140"/>
  <c r="C140"/>
  <c r="C141"/>
  <c r="C142"/>
  <c r="B143"/>
  <c r="C143"/>
  <c r="B144"/>
  <c r="C144"/>
  <c r="D34" i="56"/>
  <c r="A34" i="3"/>
  <c r="H34"/>
  <c r="D33" i="56"/>
  <c r="A33" i="3"/>
  <c r="H33"/>
  <c r="B34" i="1"/>
  <c r="B34" i="4"/>
  <c r="F34" s="1"/>
  <c r="B46" i="55"/>
  <c r="Z46"/>
  <c r="B35" i="20"/>
  <c r="B33" i="19"/>
  <c r="B34" i="20"/>
  <c r="B33" i="4"/>
  <c r="F33" s="1"/>
  <c r="B45" i="55"/>
  <c r="Z45"/>
  <c r="B34" i="59"/>
  <c r="B34" i="19"/>
  <c r="B33" i="1"/>
  <c r="B33" i="59"/>
  <c r="D36" i="56"/>
  <c r="A36" i="3"/>
  <c r="B35" i="37"/>
  <c r="B37" i="20"/>
  <c r="B36" i="4"/>
  <c r="F36" s="1"/>
  <c r="B36" i="1"/>
  <c r="B48" i="55"/>
  <c r="Z48"/>
  <c r="B36" i="59"/>
  <c r="B36" i="19"/>
  <c r="H36" i="3"/>
  <c r="F36" s="1"/>
  <c r="B36"/>
  <c r="D77" i="56"/>
  <c r="D99"/>
  <c r="B77" i="19"/>
  <c r="B78" i="20"/>
  <c r="B80" s="1"/>
  <c r="B77" i="4"/>
  <c r="F77" s="1"/>
  <c r="D36" i="3"/>
  <c r="C36"/>
  <c r="B89" i="55"/>
  <c r="Z89"/>
  <c r="B74" i="37"/>
  <c r="A77" i="3"/>
  <c r="H77"/>
  <c r="D77" s="1"/>
  <c r="B77" i="59"/>
  <c r="B99"/>
  <c r="B93" i="37"/>
  <c r="B99" i="19"/>
  <c r="B77" i="1"/>
  <c r="B99"/>
  <c r="F77" i="3"/>
  <c r="E77"/>
  <c r="C77"/>
  <c r="B77"/>
  <c r="E49" i="7"/>
  <c r="E50"/>
  <c r="E52"/>
  <c r="E53"/>
  <c r="C126"/>
  <c r="C125"/>
  <c r="C123"/>
  <c r="C122"/>
  <c r="C121"/>
  <c r="C120"/>
  <c r="C112"/>
  <c r="C111"/>
  <c r="C110"/>
  <c r="C109"/>
  <c r="C108"/>
  <c r="C107"/>
  <c r="C106"/>
  <c r="C105"/>
  <c r="C104"/>
  <c r="C103"/>
  <c r="C102"/>
  <c r="C101"/>
  <c r="C100"/>
  <c r="C99"/>
  <c r="C98"/>
  <c r="C97"/>
  <c r="C96"/>
  <c r="C95"/>
  <c r="C94"/>
  <c r="C93"/>
  <c r="C92"/>
  <c r="C91"/>
  <c r="C90"/>
  <c r="C89"/>
  <c r="C88"/>
  <c r="B89"/>
  <c r="B90"/>
  <c r="B91"/>
  <c r="B92"/>
  <c r="B93"/>
  <c r="B94"/>
  <c r="B95"/>
  <c r="B96"/>
  <c r="B97"/>
  <c r="B98"/>
  <c r="B99"/>
  <c r="B100"/>
  <c r="B101"/>
  <c r="B102"/>
  <c r="B103"/>
  <c r="B104"/>
  <c r="B105"/>
  <c r="B106"/>
  <c r="B107"/>
  <c r="B108"/>
  <c r="B109"/>
  <c r="B110"/>
  <c r="B111"/>
  <c r="B112"/>
  <c r="B113"/>
  <c r="B114"/>
  <c r="B115"/>
  <c r="B116"/>
  <c r="B117"/>
  <c r="B118"/>
  <c r="B119"/>
  <c r="B120"/>
  <c r="B121"/>
  <c r="B122"/>
  <c r="B123"/>
  <c r="B125"/>
  <c r="B126"/>
  <c r="B88"/>
  <c r="F71"/>
  <c r="F70"/>
  <c r="F69"/>
  <c r="F68"/>
  <c r="F67"/>
  <c r="D71"/>
  <c r="E71" s="1"/>
  <c r="D66"/>
  <c r="E66" s="1"/>
  <c r="E139" s="1"/>
  <c r="D65"/>
  <c r="E65" s="1"/>
  <c r="E138" s="1"/>
  <c r="D64"/>
  <c r="D137" s="1"/>
  <c r="D63"/>
  <c r="D136" s="1"/>
  <c r="D62"/>
  <c r="D135" s="1"/>
  <c r="D61"/>
  <c r="D134" s="1"/>
  <c r="D60"/>
  <c r="E60" s="1"/>
  <c r="E133" s="1"/>
  <c r="D58"/>
  <c r="D57"/>
  <c r="D56"/>
  <c r="D55"/>
  <c r="E55" s="1"/>
  <c r="E128" s="1"/>
  <c r="D54"/>
  <c r="D127" s="1"/>
  <c r="D51"/>
  <c r="E51" s="1"/>
  <c r="D48"/>
  <c r="E48" s="1"/>
  <c r="D46"/>
  <c r="E46" s="1"/>
  <c r="D45"/>
  <c r="E45" s="1"/>
  <c r="E122" s="1"/>
  <c r="D44"/>
  <c r="E44" s="1"/>
  <c r="D43"/>
  <c r="D120" s="1"/>
  <c r="D42"/>
  <c r="E42" s="1"/>
  <c r="E119" s="1"/>
  <c r="D41"/>
  <c r="E41" s="1"/>
  <c r="E118" s="1"/>
  <c r="D40"/>
  <c r="D117" s="1"/>
  <c r="D39"/>
  <c r="D116" s="1"/>
  <c r="D38"/>
  <c r="E38" s="1"/>
  <c r="E115" s="1"/>
  <c r="D37"/>
  <c r="E37" s="1"/>
  <c r="D36"/>
  <c r="D113" s="1"/>
  <c r="D35"/>
  <c r="D34"/>
  <c r="D111" s="1"/>
  <c r="D33"/>
  <c r="D110" s="1"/>
  <c r="D32"/>
  <c r="E32" s="1"/>
  <c r="D31"/>
  <c r="E31" s="1"/>
  <c r="D30"/>
  <c r="D107" s="1"/>
  <c r="D29"/>
  <c r="D106" s="1"/>
  <c r="D28"/>
  <c r="D17"/>
  <c r="C71"/>
  <c r="C70"/>
  <c r="C69"/>
  <c r="C68"/>
  <c r="C67"/>
  <c r="C59"/>
  <c r="C50"/>
  <c r="B15"/>
  <c r="B16"/>
  <c r="B17"/>
  <c r="B10" i="13" s="1"/>
  <c r="B18" i="7"/>
  <c r="B19"/>
  <c r="B20"/>
  <c r="B21"/>
  <c r="B14" i="13" s="1"/>
  <c r="B22" i="7"/>
  <c r="B23"/>
  <c r="B24"/>
  <c r="B25"/>
  <c r="B18" i="13" s="1"/>
  <c r="B26" i="7"/>
  <c r="B27"/>
  <c r="B28"/>
  <c r="B29"/>
  <c r="B30"/>
  <c r="B31"/>
  <c r="B32"/>
  <c r="B33"/>
  <c r="B26" i="13" s="1"/>
  <c r="B34" i="7"/>
  <c r="B35"/>
  <c r="B36"/>
  <c r="B37"/>
  <c r="B30" i="13" s="1"/>
  <c r="B38" i="7"/>
  <c r="B39"/>
  <c r="B40"/>
  <c r="B41"/>
  <c r="B42"/>
  <c r="B43"/>
  <c r="B44"/>
  <c r="B45"/>
  <c r="B38" i="13" s="1"/>
  <c r="B46" i="7"/>
  <c r="B48"/>
  <c r="B49"/>
  <c r="B50"/>
  <c r="B42" i="13" s="1"/>
  <c r="B51" i="7"/>
  <c r="B52"/>
  <c r="B53"/>
  <c r="B56"/>
  <c r="B48" i="13" s="1"/>
  <c r="B59" i="7"/>
  <c r="B60"/>
  <c r="B61"/>
  <c r="B62"/>
  <c r="B65"/>
  <c r="B66"/>
  <c r="B67"/>
  <c r="B57" i="13" s="1"/>
  <c r="B68" i="7"/>
  <c r="B69"/>
  <c r="B70"/>
  <c r="B71"/>
  <c r="B61" i="13" s="1"/>
  <c r="C36" i="9"/>
  <c r="C35"/>
  <c r="C34"/>
  <c r="C33"/>
  <c r="C32"/>
  <c r="C31"/>
  <c r="B12" i="7"/>
  <c r="B13"/>
  <c r="B14"/>
  <c r="C47" i="9"/>
  <c r="B11" i="7"/>
  <c r="D63" i="56"/>
  <c r="B62" i="37" s="1"/>
  <c r="B63" i="4"/>
  <c r="E63" s="1"/>
  <c r="B61"/>
  <c r="F61" s="1"/>
  <c r="B64" i="20"/>
  <c r="B63" i="59"/>
  <c r="B60" i="37"/>
  <c r="B62" i="20"/>
  <c r="B61" i="59"/>
  <c r="A61" i="3"/>
  <c r="H61" s="1"/>
  <c r="B73" i="55"/>
  <c r="Z73"/>
  <c r="A63" i="3"/>
  <c r="H63" s="1"/>
  <c r="B63" i="19"/>
  <c r="B63" i="1"/>
  <c r="B61"/>
  <c r="B61" i="19"/>
  <c r="D58" i="56"/>
  <c r="B58" i="4"/>
  <c r="F58" s="1"/>
  <c r="B57" i="37"/>
  <c r="B59" i="20"/>
  <c r="B58" i="1"/>
  <c r="A58" i="3"/>
  <c r="H58"/>
  <c r="B58" i="19"/>
  <c r="B58" i="59"/>
  <c r="B70" i="55"/>
  <c r="Z70"/>
  <c r="D82" i="56"/>
  <c r="D84"/>
  <c r="D85"/>
  <c r="D87"/>
  <c r="D88"/>
  <c r="D89"/>
  <c r="D98"/>
  <c r="B98" i="59"/>
  <c r="B98" i="19"/>
  <c r="B91" i="37"/>
  <c r="B95" i="59"/>
  <c r="B87" i="37"/>
  <c r="B95" i="19"/>
  <c r="B89" i="59"/>
  <c r="B83" i="37"/>
  <c r="B89" i="19"/>
  <c r="B78" i="37"/>
  <c r="B84" i="19"/>
  <c r="B84" i="59"/>
  <c r="B92" i="37"/>
  <c r="B96" i="19"/>
  <c r="B88" i="37"/>
  <c r="B96" i="59"/>
  <c r="B90" i="19"/>
  <c r="B84" i="37"/>
  <c r="B85" i="19"/>
  <c r="B85" i="59"/>
  <c r="B79" i="37"/>
  <c r="B89"/>
  <c r="B85"/>
  <c r="B87" i="19"/>
  <c r="B87" i="59"/>
  <c r="B81" i="37"/>
  <c r="B97" i="59"/>
  <c r="B90" i="37"/>
  <c r="B97" i="19"/>
  <c r="B86" i="37"/>
  <c r="B88" i="59"/>
  <c r="B82" i="37"/>
  <c r="B88" i="19"/>
  <c r="B82"/>
  <c r="B77" i="37"/>
  <c r="B82" i="59"/>
  <c r="B97" i="1"/>
  <c r="B88"/>
  <c r="B82"/>
  <c r="B96"/>
  <c r="B85"/>
  <c r="B87"/>
  <c r="B98"/>
  <c r="B95"/>
  <c r="B89"/>
  <c r="B84"/>
  <c r="D81" i="56"/>
  <c r="B81" i="1"/>
  <c r="B81" i="59"/>
  <c r="B76" i="37"/>
  <c r="B81" i="19"/>
  <c r="F9" i="59"/>
  <c r="E9"/>
  <c r="D9"/>
  <c r="C9"/>
  <c r="D1" i="1"/>
  <c r="F7" i="59"/>
  <c r="E7"/>
  <c r="D7"/>
  <c r="C7"/>
  <c r="B7"/>
  <c r="D1"/>
  <c r="B68" i="13"/>
  <c r="C61" i="9"/>
  <c r="D72" i="56"/>
  <c r="B72" i="4"/>
  <c r="F72" s="1"/>
  <c r="C28" i="9"/>
  <c r="C29"/>
  <c r="C38"/>
  <c r="C39"/>
  <c r="C40"/>
  <c r="C41"/>
  <c r="C43"/>
  <c r="C44"/>
  <c r="C46"/>
  <c r="C49"/>
  <c r="C50"/>
  <c r="C51"/>
  <c r="C52"/>
  <c r="C53"/>
  <c r="C54"/>
  <c r="C55"/>
  <c r="C56"/>
  <c r="C57"/>
  <c r="C58"/>
  <c r="C59"/>
  <c r="C60"/>
  <c r="F12" i="57"/>
  <c r="E12"/>
  <c r="D12"/>
  <c r="C12"/>
  <c r="D30" i="56"/>
  <c r="B30" i="19" s="1"/>
  <c r="B32" i="20"/>
  <c r="D71" i="56"/>
  <c r="B71" i="4"/>
  <c r="F71" s="1"/>
  <c r="D70" i="56"/>
  <c r="B70" i="4"/>
  <c r="F70" s="1"/>
  <c r="D69" i="56"/>
  <c r="B69" i="4"/>
  <c r="F69" s="1"/>
  <c r="D68" i="56"/>
  <c r="B68" i="4"/>
  <c r="F68" s="1"/>
  <c r="D67" i="56"/>
  <c r="B67" i="4"/>
  <c r="F67" s="1"/>
  <c r="B66"/>
  <c r="F66" s="1"/>
  <c r="B65"/>
  <c r="F65" s="1"/>
  <c r="B64"/>
  <c r="F64" s="1"/>
  <c r="B62"/>
  <c r="F62" s="1"/>
  <c r="D60" i="56"/>
  <c r="B60" i="4"/>
  <c r="F60" s="1"/>
  <c r="D59" i="56"/>
  <c r="B59" i="4"/>
  <c r="F59" s="1"/>
  <c r="D57" i="56"/>
  <c r="B57" i="4"/>
  <c r="F57" s="1"/>
  <c r="D56" i="56"/>
  <c r="B56" i="4"/>
  <c r="F56" s="1"/>
  <c r="D55" i="56"/>
  <c r="B55" i="4"/>
  <c r="F55" s="1"/>
  <c r="D54" i="56"/>
  <c r="B54" i="4"/>
  <c r="F54" s="1"/>
  <c r="D53" i="56"/>
  <c r="B53" i="4"/>
  <c r="F53" s="1"/>
  <c r="D52" i="56"/>
  <c r="B52" i="4"/>
  <c r="F52" s="1"/>
  <c r="D51" i="56"/>
  <c r="B51" i="4"/>
  <c r="F51" s="1"/>
  <c r="D50" i="56"/>
  <c r="B50" i="4"/>
  <c r="F50" s="1"/>
  <c r="D49" i="56"/>
  <c r="B49" i="4"/>
  <c r="F49" s="1"/>
  <c r="D48" i="56"/>
  <c r="B48" i="4"/>
  <c r="F48" s="1"/>
  <c r="D47" i="56"/>
  <c r="B47" i="4"/>
  <c r="F47" s="1"/>
  <c r="D46" i="56"/>
  <c r="B46" i="4"/>
  <c r="F46" s="1"/>
  <c r="D45" i="56"/>
  <c r="B45" i="4"/>
  <c r="F45" s="1"/>
  <c r="D40" i="56"/>
  <c r="B41" i="20"/>
  <c r="D39" i="56"/>
  <c r="B40" i="20"/>
  <c r="D38" i="56"/>
  <c r="D37"/>
  <c r="D35"/>
  <c r="A35" i="3"/>
  <c r="H35"/>
  <c r="F35" s="1"/>
  <c r="B33" i="20"/>
  <c r="D29" i="56"/>
  <c r="B30" i="20"/>
  <c r="D28" i="56"/>
  <c r="A28" i="3" s="1"/>
  <c r="H28" s="1"/>
  <c r="D27" i="56"/>
  <c r="B28" i="20"/>
  <c r="D26" i="56"/>
  <c r="B27" i="20"/>
  <c r="D25" i="56"/>
  <c r="B26" i="20"/>
  <c r="D24" i="56"/>
  <c r="B25" i="20"/>
  <c r="D23" i="56"/>
  <c r="B24" i="20"/>
  <c r="D22" i="56"/>
  <c r="B23" i="20"/>
  <c r="D20" i="56"/>
  <c r="B21" i="20"/>
  <c r="D19" i="56"/>
  <c r="B20" i="20"/>
  <c r="D18" i="56"/>
  <c r="B18" i="59" s="1"/>
  <c r="B19" i="20"/>
  <c r="D17" i="56"/>
  <c r="B18" i="20" s="1"/>
  <c r="D16" i="56"/>
  <c r="B17" i="20"/>
  <c r="D15" i="56"/>
  <c r="B16" i="37" s="1"/>
  <c r="D14" i="56"/>
  <c r="B14" i="19" s="1"/>
  <c r="D13" i="56"/>
  <c r="B13" i="19" s="1"/>
  <c r="D12" i="56"/>
  <c r="B13" i="20" s="1"/>
  <c r="D11" i="56"/>
  <c r="B12" i="20" s="1"/>
  <c r="D10" i="56"/>
  <c r="D9"/>
  <c r="B9" i="19"/>
  <c r="B11" i="13"/>
  <c r="B15"/>
  <c r="B16"/>
  <c r="B21"/>
  <c r="B22"/>
  <c r="B23"/>
  <c r="B25"/>
  <c r="B27"/>
  <c r="D87" i="7"/>
  <c r="E87"/>
  <c r="F87"/>
  <c r="C87"/>
  <c r="B4" i="13"/>
  <c r="D5" i="11"/>
  <c r="D6"/>
  <c r="D7"/>
  <c r="D8"/>
  <c r="D4"/>
  <c r="B29" i="13"/>
  <c r="B31"/>
  <c r="B33"/>
  <c r="B35"/>
  <c r="B37"/>
  <c r="B4" i="20"/>
  <c r="Y2" i="55"/>
  <c r="AA2"/>
  <c r="Y3"/>
  <c r="AA3"/>
  <c r="Y4"/>
  <c r="AA4"/>
  <c r="Y1"/>
  <c r="AA1"/>
  <c r="A7" i="20"/>
  <c r="B2" i="4"/>
  <c r="C2"/>
  <c r="D2"/>
  <c r="E2"/>
  <c r="F2"/>
  <c r="G2"/>
  <c r="A2"/>
  <c r="B41" i="13"/>
  <c r="B43"/>
  <c r="C7" i="9"/>
  <c r="C8"/>
  <c r="C9"/>
  <c r="C10"/>
  <c r="C11"/>
  <c r="C13"/>
  <c r="C14"/>
  <c r="C15"/>
  <c r="C16"/>
  <c r="C17"/>
  <c r="C18"/>
  <c r="C19"/>
  <c r="C20"/>
  <c r="C24"/>
  <c r="C25"/>
  <c r="C26"/>
  <c r="C27"/>
  <c r="C6"/>
  <c r="A3" i="13"/>
  <c r="A4"/>
  <c r="C4"/>
  <c r="D4"/>
  <c r="E4"/>
  <c r="F4"/>
  <c r="G4"/>
  <c r="B9" i="37"/>
  <c r="B7" i="1"/>
  <c r="C7"/>
  <c r="D7"/>
  <c r="E7"/>
  <c r="F7"/>
  <c r="J6" i="20"/>
  <c r="A1" i="24"/>
  <c r="I6" i="20"/>
  <c r="B46" i="37"/>
  <c r="B50"/>
  <c r="B52" i="20"/>
  <c r="B54" i="37"/>
  <c r="B56" i="20"/>
  <c r="B59" i="37"/>
  <c r="B61" i="20"/>
  <c r="B65" i="37"/>
  <c r="B66" i="59"/>
  <c r="B67" i="20"/>
  <c r="B69" i="37"/>
  <c r="B70" i="59"/>
  <c r="B71" i="20"/>
  <c r="B37" i="37"/>
  <c r="B39" i="20"/>
  <c r="B45" i="37"/>
  <c r="B47" i="20"/>
  <c r="B49" i="37"/>
  <c r="B51" i="20"/>
  <c r="B53" i="37"/>
  <c r="B55" i="20"/>
  <c r="B58" i="37"/>
  <c r="B60" i="20"/>
  <c r="B64" i="37"/>
  <c r="B66" i="20"/>
  <c r="B65" i="59"/>
  <c r="B68" i="37"/>
  <c r="B70" i="20"/>
  <c r="B69" i="59"/>
  <c r="B36" i="37"/>
  <c r="B38" i="20"/>
  <c r="B44" i="37"/>
  <c r="B46" i="20"/>
  <c r="B48" i="37"/>
  <c r="B50" i="20"/>
  <c r="B52" i="37"/>
  <c r="B54" i="20"/>
  <c r="B56" i="37"/>
  <c r="B58" i="20"/>
  <c r="B63" i="37"/>
  <c r="B65" i="20"/>
  <c r="B64" i="59"/>
  <c r="B67" i="37"/>
  <c r="B68" i="59"/>
  <c r="B69" i="20"/>
  <c r="B47" i="37"/>
  <c r="B49" i="20"/>
  <c r="B51" i="37"/>
  <c r="B53" i="20"/>
  <c r="B55" i="37"/>
  <c r="B57" i="20"/>
  <c r="B61" i="37"/>
  <c r="B62" i="59"/>
  <c r="B63" i="20"/>
  <c r="B66" i="37"/>
  <c r="B68" i="20"/>
  <c r="B67" i="59"/>
  <c r="B70" i="37"/>
  <c r="B72" i="20"/>
  <c r="B71" i="59"/>
  <c r="B71" i="37"/>
  <c r="B73" i="20"/>
  <c r="B72" i="59"/>
  <c r="B51" i="55"/>
  <c r="Z51" s="1"/>
  <c r="B38" i="37"/>
  <c r="A60" i="3"/>
  <c r="H60"/>
  <c r="C60" s="1"/>
  <c r="B52" i="55"/>
  <c r="Z52"/>
  <c r="B39" i="37"/>
  <c r="A59" i="3"/>
  <c r="H59" s="1"/>
  <c r="A62"/>
  <c r="B74" i="55"/>
  <c r="Z74"/>
  <c r="A67" i="3"/>
  <c r="H67"/>
  <c r="B79" i="55"/>
  <c r="Z79"/>
  <c r="A71" i="3"/>
  <c r="B83" i="55"/>
  <c r="Z83"/>
  <c r="A72" i="3"/>
  <c r="H72" s="1"/>
  <c r="B84" i="55"/>
  <c r="Z84"/>
  <c r="A64" i="3"/>
  <c r="H64" s="1"/>
  <c r="B76" i="55"/>
  <c r="Z76" s="1"/>
  <c r="A68" i="3"/>
  <c r="B80" i="55"/>
  <c r="Z80"/>
  <c r="A65" i="3"/>
  <c r="B77" i="55"/>
  <c r="Z77"/>
  <c r="A69" i="3"/>
  <c r="H69" s="1"/>
  <c r="B81" i="55"/>
  <c r="Z81"/>
  <c r="A66" i="3"/>
  <c r="H66"/>
  <c r="C66" s="1"/>
  <c r="B78" i="55"/>
  <c r="Z78"/>
  <c r="A70" i="3"/>
  <c r="H70"/>
  <c r="D70" s="1"/>
  <c r="B82" i="55"/>
  <c r="Z82"/>
  <c r="B37" i="4"/>
  <c r="F37" s="1"/>
  <c r="A37" i="3"/>
  <c r="H37" s="1"/>
  <c r="A53"/>
  <c r="H53"/>
  <c r="B40" i="4"/>
  <c r="F40" s="1"/>
  <c r="A40" i="3"/>
  <c r="H40" s="1"/>
  <c r="A52"/>
  <c r="A56"/>
  <c r="H56"/>
  <c r="C35"/>
  <c r="B35"/>
  <c r="B38" i="4"/>
  <c r="F38" s="1"/>
  <c r="A38" i="3"/>
  <c r="A46"/>
  <c r="H46" s="1"/>
  <c r="A50"/>
  <c r="H50" s="1"/>
  <c r="A54"/>
  <c r="A45"/>
  <c r="H45"/>
  <c r="B45" s="1"/>
  <c r="A49"/>
  <c r="A57"/>
  <c r="A48"/>
  <c r="H48"/>
  <c r="D48" s="1"/>
  <c r="B39" i="4"/>
  <c r="F39" s="1"/>
  <c r="A39" i="3"/>
  <c r="H39"/>
  <c r="A47"/>
  <c r="H47" s="1"/>
  <c r="A51"/>
  <c r="A55"/>
  <c r="H55"/>
  <c r="B36" i="20"/>
  <c r="B35" i="4"/>
  <c r="F35" s="1"/>
  <c r="B66" i="19"/>
  <c r="B66" i="1"/>
  <c r="B70" i="19"/>
  <c r="B70" i="1"/>
  <c r="B60" i="19"/>
  <c r="B65" i="1"/>
  <c r="B65" i="19"/>
  <c r="B69" i="1"/>
  <c r="B69" i="19"/>
  <c r="B59"/>
  <c r="B64"/>
  <c r="B64" i="1"/>
  <c r="B68" i="19"/>
  <c r="B68" i="1"/>
  <c r="B62" i="19"/>
  <c r="B62" i="1"/>
  <c r="B67" i="19"/>
  <c r="B67" i="1"/>
  <c r="B71" i="19"/>
  <c r="B71" i="1"/>
  <c r="B72" i="19"/>
  <c r="B72" i="1"/>
  <c r="B10" i="20"/>
  <c r="B40" i="59"/>
  <c r="B60"/>
  <c r="B72" i="55"/>
  <c r="Z72"/>
  <c r="B60" i="1"/>
  <c r="B39" i="59"/>
  <c r="B54"/>
  <c r="B46"/>
  <c r="B50"/>
  <c r="B53"/>
  <c r="B57"/>
  <c r="B69" i="55"/>
  <c r="Z69" s="1"/>
  <c r="B57" i="19"/>
  <c r="B38" i="59"/>
  <c r="B48"/>
  <c r="B55"/>
  <c r="B67" i="55"/>
  <c r="Z67"/>
  <c r="B37" i="59"/>
  <c r="B47"/>
  <c r="B51"/>
  <c r="B59"/>
  <c r="B71" i="55"/>
  <c r="Z71" s="1"/>
  <c r="B59" i="1"/>
  <c r="B45" i="59"/>
  <c r="B49"/>
  <c r="B52"/>
  <c r="B56"/>
  <c r="B68" i="55"/>
  <c r="Z68"/>
  <c r="A9" i="3"/>
  <c r="B20" i="19"/>
  <c r="B32" i="55"/>
  <c r="Z32"/>
  <c r="B20" i="59"/>
  <c r="B20" i="1"/>
  <c r="B21" i="37"/>
  <c r="B20" i="4"/>
  <c r="F20" s="1"/>
  <c r="A20" i="3"/>
  <c r="B37" i="1"/>
  <c r="B37" i="19"/>
  <c r="B49" i="55"/>
  <c r="Z49" s="1"/>
  <c r="B51" i="1"/>
  <c r="B63" i="55"/>
  <c r="Z63" s="1"/>
  <c r="B51" i="19"/>
  <c r="B19" i="1"/>
  <c r="B19" i="19"/>
  <c r="B20" i="37"/>
  <c r="B31" i="55"/>
  <c r="Z31" s="1"/>
  <c r="B19" i="4"/>
  <c r="F19" s="1"/>
  <c r="B19" i="59"/>
  <c r="A19" i="3"/>
  <c r="H19" s="1"/>
  <c r="B27" i="1"/>
  <c r="B27" i="19"/>
  <c r="B27" i="4"/>
  <c r="F27" s="1"/>
  <c r="B27" i="59"/>
  <c r="B28" i="37"/>
  <c r="B39" i="55"/>
  <c r="Z39"/>
  <c r="A27" i="3"/>
  <c r="H27" s="1"/>
  <c r="B58" i="55"/>
  <c r="Z58"/>
  <c r="B46" i="19"/>
  <c r="B46" i="1"/>
  <c r="B65" i="55"/>
  <c r="Z65"/>
  <c r="B53" i="19"/>
  <c r="B53" i="1"/>
  <c r="B31"/>
  <c r="B43" i="55"/>
  <c r="Z43"/>
  <c r="A31" i="3"/>
  <c r="B31" i="59"/>
  <c r="B31" i="19"/>
  <c r="B32" i="37"/>
  <c r="B31" i="4"/>
  <c r="F31" s="1"/>
  <c r="B19" i="37"/>
  <c r="B30" i="55"/>
  <c r="Z30" s="1"/>
  <c r="A18" i="3"/>
  <c r="H18" s="1"/>
  <c r="B18" s="1"/>
  <c r="B18" i="1"/>
  <c r="B22" i="59"/>
  <c r="B22" i="1"/>
  <c r="B22" i="19"/>
  <c r="B23" i="37"/>
  <c r="B34" i="55"/>
  <c r="Z34"/>
  <c r="B22" i="4"/>
  <c r="F22" s="1"/>
  <c r="A22" i="3"/>
  <c r="H22"/>
  <c r="E22" s="1"/>
  <c r="B26" i="59"/>
  <c r="B27" i="37"/>
  <c r="B38" i="55"/>
  <c r="Z38"/>
  <c r="B26" i="4"/>
  <c r="F26" s="1"/>
  <c r="A26" i="3"/>
  <c r="H26"/>
  <c r="B26" i="1"/>
  <c r="B26" i="19"/>
  <c r="B32"/>
  <c r="B33" i="37"/>
  <c r="B44" i="55"/>
  <c r="Z44"/>
  <c r="B32" i="4"/>
  <c r="F32" s="1"/>
  <c r="A32" i="3"/>
  <c r="B32" i="1"/>
  <c r="B32" i="59"/>
  <c r="B45" i="19"/>
  <c r="B57" i="55"/>
  <c r="Z57"/>
  <c r="B45" i="1"/>
  <c r="B49" i="19"/>
  <c r="B61" i="55"/>
  <c r="Z61"/>
  <c r="B49" i="1"/>
  <c r="B52" i="19"/>
  <c r="B52" i="1"/>
  <c r="B64" i="55"/>
  <c r="Z64" s="1"/>
  <c r="B56" i="19"/>
  <c r="B56" i="1"/>
  <c r="B16" i="19"/>
  <c r="B17" i="37"/>
  <c r="B28" i="55"/>
  <c r="Z28" s="1"/>
  <c r="B16" i="4"/>
  <c r="A16" i="3"/>
  <c r="H16" s="1"/>
  <c r="C16" s="1"/>
  <c r="B16" i="1"/>
  <c r="B16" i="59"/>
  <c r="B24" i="19"/>
  <c r="B25" i="37"/>
  <c r="B36" i="55"/>
  <c r="Z36" s="1"/>
  <c r="B24" i="4"/>
  <c r="F24" s="1"/>
  <c r="A24" i="3"/>
  <c r="H24" s="1"/>
  <c r="B24" i="1"/>
  <c r="B24" i="59"/>
  <c r="B39" i="1"/>
  <c r="B39" i="19"/>
  <c r="B47"/>
  <c r="B59" i="55"/>
  <c r="Z59"/>
  <c r="B47" i="1"/>
  <c r="B54" i="19"/>
  <c r="B66" i="55"/>
  <c r="Z66"/>
  <c r="B54" i="1"/>
  <c r="B23"/>
  <c r="B35" i="55"/>
  <c r="Z35"/>
  <c r="A23" i="3"/>
  <c r="B23" i="59"/>
  <c r="B23" i="19"/>
  <c r="B24" i="37"/>
  <c r="B23" i="4"/>
  <c r="F23" s="1"/>
  <c r="B62" i="55"/>
  <c r="Z62" s="1"/>
  <c r="B50" i="1"/>
  <c r="B50" i="19"/>
  <c r="B57" i="1"/>
  <c r="B29" i="55"/>
  <c r="B17" i="4"/>
  <c r="E17" s="1"/>
  <c r="B17" i="19"/>
  <c r="B21" i="4"/>
  <c r="E21" s="1"/>
  <c r="B21" i="1"/>
  <c r="B26" i="37"/>
  <c r="B37" i="55"/>
  <c r="Z37" s="1"/>
  <c r="B25" i="4"/>
  <c r="F25" s="1"/>
  <c r="A25" i="3"/>
  <c r="H25" s="1"/>
  <c r="B25" i="1"/>
  <c r="B25" i="19"/>
  <c r="B25" i="59"/>
  <c r="B30" i="37"/>
  <c r="B41" i="55"/>
  <c r="Z41" s="1"/>
  <c r="B29" i="4"/>
  <c r="G29" s="1"/>
  <c r="A29" i="3"/>
  <c r="H29" s="1"/>
  <c r="B29" i="1"/>
  <c r="B29" i="19"/>
  <c r="B29" i="59"/>
  <c r="B35" i="1"/>
  <c r="B35" i="19"/>
  <c r="B35" i="59"/>
  <c r="B34" i="37"/>
  <c r="B47" i="55"/>
  <c r="Z47"/>
  <c r="B38" i="1"/>
  <c r="B50" i="55"/>
  <c r="Z50"/>
  <c r="B38" i="19"/>
  <c r="B40" i="1"/>
  <c r="B40" i="19"/>
  <c r="B48" i="1"/>
  <c r="B60" i="55"/>
  <c r="Z60"/>
  <c r="B48" i="19"/>
  <c r="B55" i="1"/>
  <c r="B55" i="19"/>
  <c r="B12"/>
  <c r="B11" i="1"/>
  <c r="B5" i="13"/>
  <c r="B59"/>
  <c r="B11" i="20"/>
  <c r="B10" i="59"/>
  <c r="B9" i="1"/>
  <c r="B9" i="59"/>
  <c r="B25" i="55"/>
  <c r="Z25" s="1"/>
  <c r="B11" i="4"/>
  <c r="D11" s="1"/>
  <c r="B12"/>
  <c r="F12" s="1"/>
  <c r="B10" i="1"/>
  <c r="B10" i="4"/>
  <c r="F10" s="1"/>
  <c r="B14" i="37"/>
  <c r="B12" i="1"/>
  <c r="B13" i="37"/>
  <c r="B17" i="13"/>
  <c r="B45"/>
  <c r="B63"/>
  <c r="B67"/>
  <c r="B58"/>
  <c r="B34"/>
  <c r="B64"/>
  <c r="B60"/>
  <c r="B55"/>
  <c r="B51"/>
  <c r="B39"/>
  <c r="B19"/>
  <c r="B65"/>
  <c r="B56"/>
  <c r="B52"/>
  <c r="B44"/>
  <c r="B40"/>
  <c r="B36"/>
  <c r="B32"/>
  <c r="B28"/>
  <c r="B24"/>
  <c r="B20"/>
  <c r="B66"/>
  <c r="B12"/>
  <c r="B8"/>
  <c r="B9"/>
  <c r="B21" i="55"/>
  <c r="Z21" s="1"/>
  <c r="B10" i="19"/>
  <c r="B11" i="37"/>
  <c r="A10" i="3"/>
  <c r="H10"/>
  <c r="C10" s="1"/>
  <c r="B13" i="4"/>
  <c r="D13" s="1"/>
  <c r="B20" i="55"/>
  <c r="B9" i="4"/>
  <c r="F9" s="1"/>
  <c r="B10" i="37"/>
  <c r="B7" i="13"/>
  <c r="B13"/>
  <c r="B6"/>
  <c r="H51" i="3"/>
  <c r="B51" s="1"/>
  <c r="C51"/>
  <c r="H57"/>
  <c r="E57"/>
  <c r="H54"/>
  <c r="E54" s="1"/>
  <c r="F54"/>
  <c r="H65"/>
  <c r="B65" s="1"/>
  <c r="E65"/>
  <c r="H52"/>
  <c r="C52" s="1"/>
  <c r="B52"/>
  <c r="H68"/>
  <c r="D68" s="1"/>
  <c r="C68"/>
  <c r="H71"/>
  <c r="C71"/>
  <c r="H62"/>
  <c r="D62" s="1"/>
  <c r="B62"/>
  <c r="H49"/>
  <c r="C49"/>
  <c r="H32"/>
  <c r="B32" s="1"/>
  <c r="F32"/>
  <c r="H20"/>
  <c r="E20"/>
  <c r="H38"/>
  <c r="B38" s="1"/>
  <c r="E38"/>
  <c r="H31"/>
  <c r="C31"/>
  <c r="H23"/>
  <c r="B23" s="1"/>
  <c r="D23"/>
  <c r="H9"/>
  <c r="B9" s="1"/>
  <c r="F9"/>
  <c r="Z20" i="55"/>
  <c r="E53" i="3"/>
  <c r="F53"/>
  <c r="F62"/>
  <c r="D53"/>
  <c r="B53"/>
  <c r="C53"/>
  <c r="B58"/>
  <c r="E58"/>
  <c r="C58"/>
  <c r="B66"/>
  <c r="B55"/>
  <c r="C55"/>
  <c r="D55"/>
  <c r="F55"/>
  <c r="F58"/>
  <c r="D58"/>
  <c r="E55"/>
  <c r="E66"/>
  <c r="D66"/>
  <c r="E60"/>
  <c r="F26"/>
  <c r="B26"/>
  <c r="C26"/>
  <c r="D26"/>
  <c r="E26"/>
  <c r="D39"/>
  <c r="E39"/>
  <c r="C39"/>
  <c r="B39"/>
  <c r="F39"/>
  <c r="B48"/>
  <c r="C48"/>
  <c r="C34"/>
  <c r="D34"/>
  <c r="B34"/>
  <c r="E34"/>
  <c r="F34"/>
  <c r="F45"/>
  <c r="B67"/>
  <c r="F67"/>
  <c r="E67"/>
  <c r="D67"/>
  <c r="C67"/>
  <c r="E33"/>
  <c r="D33"/>
  <c r="C33"/>
  <c r="B33"/>
  <c r="F33"/>
  <c r="B10"/>
  <c r="D56"/>
  <c r="E56"/>
  <c r="C56"/>
  <c r="B56"/>
  <c r="F56"/>
  <c r="D22"/>
  <c r="C22"/>
  <c r="B22"/>
  <c r="F22"/>
  <c r="E70"/>
  <c r="B70"/>
  <c r="B57"/>
  <c r="E52"/>
  <c r="D32"/>
  <c r="F57"/>
  <c r="D57"/>
  <c r="C62"/>
  <c r="E31"/>
  <c r="C65"/>
  <c r="F38"/>
  <c r="F71"/>
  <c r="F31"/>
  <c r="F65"/>
  <c r="C38"/>
  <c r="B71"/>
  <c r="E51"/>
  <c r="B31"/>
  <c r="C57"/>
  <c r="D31"/>
  <c r="D9"/>
  <c r="C54"/>
  <c r="E49"/>
  <c r="D71"/>
  <c r="B49"/>
  <c r="C9"/>
  <c r="D65"/>
  <c r="E68"/>
  <c r="F68"/>
  <c r="D49"/>
  <c r="E71"/>
  <c r="B68"/>
  <c r="D54"/>
  <c r="B20"/>
  <c r="D20"/>
  <c r="E23"/>
  <c r="F51"/>
  <c r="D51"/>
  <c r="F49"/>
  <c r="E9"/>
  <c r="D38"/>
  <c r="C20"/>
  <c r="F20"/>
  <c r="C23"/>
  <c r="F23"/>
  <c r="E32"/>
  <c r="C32"/>
  <c r="F66" i="7"/>
  <c r="F139" s="1"/>
  <c r="F65"/>
  <c r="F138" s="1"/>
  <c r="C66"/>
  <c r="C65"/>
  <c r="C138" s="1"/>
  <c r="F46"/>
  <c r="F123" s="1"/>
  <c r="F44"/>
  <c r="F121" s="1"/>
  <c r="F38"/>
  <c r="F115" s="1"/>
  <c r="F37"/>
  <c r="F114" s="1"/>
  <c r="F40"/>
  <c r="F117" s="1"/>
  <c r="F36"/>
  <c r="F113" s="1"/>
  <c r="F31"/>
  <c r="F108" s="1"/>
  <c r="F39"/>
  <c r="F116" s="1"/>
  <c r="F32"/>
  <c r="F109" s="1"/>
  <c r="F30"/>
  <c r="F107" s="1"/>
  <c r="F33"/>
  <c r="F110" s="1"/>
  <c r="F41"/>
  <c r="F118" s="1"/>
  <c r="F29"/>
  <c r="F106" s="1"/>
  <c r="F34"/>
  <c r="F111" s="1"/>
  <c r="F43"/>
  <c r="F120" s="1"/>
  <c r="F45"/>
  <c r="F122" s="1"/>
  <c r="F55"/>
  <c r="F128" s="1"/>
  <c r="F61"/>
  <c r="F134" s="1"/>
  <c r="F49"/>
  <c r="F56"/>
  <c r="F58"/>
  <c r="F57"/>
  <c r="F62"/>
  <c r="F135" s="1"/>
  <c r="F50"/>
  <c r="F48"/>
  <c r="F54"/>
  <c r="F127" s="1"/>
  <c r="F64"/>
  <c r="F137" s="1"/>
  <c r="F52"/>
  <c r="F60"/>
  <c r="F133" s="1"/>
  <c r="F63"/>
  <c r="F136" s="1"/>
  <c r="F51"/>
  <c r="F53"/>
  <c r="C37"/>
  <c r="C46"/>
  <c r="C44"/>
  <c r="C32"/>
  <c r="C30"/>
  <c r="C25"/>
  <c r="C23"/>
  <c r="C18"/>
  <c r="C20"/>
  <c r="C11"/>
  <c r="C40"/>
  <c r="C15"/>
  <c r="C22"/>
  <c r="C24"/>
  <c r="C29"/>
  <c r="C31"/>
  <c r="C43"/>
  <c r="C45"/>
  <c r="C36"/>
  <c r="C58"/>
  <c r="C21"/>
  <c r="C27"/>
  <c r="C34"/>
  <c r="C39"/>
  <c r="C16"/>
  <c r="C41"/>
  <c r="C19"/>
  <c r="C12"/>
  <c r="C26"/>
  <c r="C33"/>
  <c r="C13"/>
  <c r="C38"/>
  <c r="C57"/>
  <c r="C60"/>
  <c r="C61"/>
  <c r="C55"/>
  <c r="C128" s="1"/>
  <c r="C53"/>
  <c r="C49"/>
  <c r="C63"/>
  <c r="C64"/>
  <c r="C137" s="1"/>
  <c r="C52"/>
  <c r="C48"/>
  <c r="C56"/>
  <c r="C54"/>
  <c r="C127" s="1"/>
  <c r="C62"/>
  <c r="C51"/>
  <c r="F24" i="3" l="1"/>
  <c r="B24"/>
  <c r="E24"/>
  <c r="C24"/>
  <c r="D24"/>
  <c r="F61"/>
  <c r="D61"/>
  <c r="B61"/>
  <c r="E61"/>
  <c r="C61"/>
  <c r="B27"/>
  <c r="D27"/>
  <c r="F27"/>
  <c r="E27"/>
  <c r="C27"/>
  <c r="E47"/>
  <c r="B47"/>
  <c r="F47"/>
  <c r="D47"/>
  <c r="C47"/>
  <c r="E40"/>
  <c r="D40"/>
  <c r="F40"/>
  <c r="C40"/>
  <c r="B40"/>
  <c r="F37"/>
  <c r="D37"/>
  <c r="E37"/>
  <c r="B37"/>
  <c r="C37"/>
  <c r="C69"/>
  <c r="B69"/>
  <c r="D69"/>
  <c r="F69"/>
  <c r="E69"/>
  <c r="B64"/>
  <c r="C64"/>
  <c r="E64"/>
  <c r="F64"/>
  <c r="D64"/>
  <c r="B74"/>
  <c r="E74"/>
  <c r="D74"/>
  <c r="F74"/>
  <c r="C74"/>
  <c r="B43"/>
  <c r="E43"/>
  <c r="F43"/>
  <c r="D43"/>
  <c r="C43"/>
  <c r="B59"/>
  <c r="C59"/>
  <c r="E59"/>
  <c r="D59"/>
  <c r="F59"/>
  <c r="B25"/>
  <c r="E25"/>
  <c r="D25"/>
  <c r="F25"/>
  <c r="C25"/>
  <c r="D19"/>
  <c r="E19"/>
  <c r="C19"/>
  <c r="B19"/>
  <c r="F19"/>
  <c r="E46"/>
  <c r="B46"/>
  <c r="C46"/>
  <c r="F46"/>
  <c r="D46"/>
  <c r="D50"/>
  <c r="E50"/>
  <c r="B50"/>
  <c r="C50"/>
  <c r="F50"/>
  <c r="B72"/>
  <c r="E72"/>
  <c r="C72"/>
  <c r="D72"/>
  <c r="F72"/>
  <c r="B73"/>
  <c r="C73"/>
  <c r="F73"/>
  <c r="D73"/>
  <c r="E73"/>
  <c r="C34" i="4"/>
  <c r="G76"/>
  <c r="G42"/>
  <c r="G41"/>
  <c r="G34"/>
  <c r="G26"/>
  <c r="G20"/>
  <c r="G10"/>
  <c r="G9"/>
  <c r="A120" i="9"/>
  <c r="B137" i="7" s="1"/>
  <c r="F52" i="3"/>
  <c r="B54"/>
  <c r="C70"/>
  <c r="F10"/>
  <c r="D10"/>
  <c r="D45"/>
  <c r="F48"/>
  <c r="D60"/>
  <c r="B60"/>
  <c r="F66"/>
  <c r="D52"/>
  <c r="E35"/>
  <c r="B58" i="7"/>
  <c r="B50" i="13" s="1"/>
  <c r="B79" i="20"/>
  <c r="E36" i="3"/>
  <c r="B41"/>
  <c r="C42"/>
  <c r="B42"/>
  <c r="D44"/>
  <c r="C76" i="4"/>
  <c r="C72"/>
  <c r="C68"/>
  <c r="C64"/>
  <c r="C59"/>
  <c r="C55"/>
  <c r="C51"/>
  <c r="C47"/>
  <c r="C43"/>
  <c r="C39"/>
  <c r="C35"/>
  <c r="C31"/>
  <c r="C24"/>
  <c r="C19"/>
  <c r="D77"/>
  <c r="D76"/>
  <c r="D75"/>
  <c r="D74"/>
  <c r="D73"/>
  <c r="D72"/>
  <c r="D71"/>
  <c r="D70"/>
  <c r="D69"/>
  <c r="D68"/>
  <c r="D67"/>
  <c r="D66"/>
  <c r="D65"/>
  <c r="D64"/>
  <c r="D62"/>
  <c r="D61"/>
  <c r="D60"/>
  <c r="D59"/>
  <c r="D58"/>
  <c r="D57"/>
  <c r="D56"/>
  <c r="D55"/>
  <c r="D54"/>
  <c r="D53"/>
  <c r="D52"/>
  <c r="D51"/>
  <c r="D50"/>
  <c r="D49"/>
  <c r="D48"/>
  <c r="D47"/>
  <c r="D46"/>
  <c r="D45"/>
  <c r="D44"/>
  <c r="D43"/>
  <c r="D42"/>
  <c r="D41"/>
  <c r="D40"/>
  <c r="D39"/>
  <c r="D38"/>
  <c r="D37"/>
  <c r="D36"/>
  <c r="D35"/>
  <c r="D34"/>
  <c r="D33"/>
  <c r="D32"/>
  <c r="D31"/>
  <c r="D27"/>
  <c r="D26"/>
  <c r="D25"/>
  <c r="D24"/>
  <c r="D23"/>
  <c r="D22"/>
  <c r="D20"/>
  <c r="D19"/>
  <c r="D10"/>
  <c r="D9"/>
  <c r="A110" i="9"/>
  <c r="B127" i="7" s="1"/>
  <c r="A113" i="9"/>
  <c r="B59"/>
  <c r="C42" i="4"/>
  <c r="G72"/>
  <c r="G64"/>
  <c r="E62" i="3"/>
  <c r="F70"/>
  <c r="E10"/>
  <c r="E45"/>
  <c r="C45"/>
  <c r="E48"/>
  <c r="F60"/>
  <c r="D35"/>
  <c r="C41"/>
  <c r="C77" i="4"/>
  <c r="C73"/>
  <c r="C69"/>
  <c r="C65"/>
  <c r="C60"/>
  <c r="C56"/>
  <c r="C52"/>
  <c r="C48"/>
  <c r="C44"/>
  <c r="C40"/>
  <c r="C36"/>
  <c r="C32"/>
  <c r="C25"/>
  <c r="C20"/>
  <c r="E77"/>
  <c r="E76"/>
  <c r="E75"/>
  <c r="E74"/>
  <c r="E73"/>
  <c r="E72"/>
  <c r="E71"/>
  <c r="E70"/>
  <c r="E69"/>
  <c r="E68"/>
  <c r="E67"/>
  <c r="E66"/>
  <c r="E65"/>
  <c r="E64"/>
  <c r="E62"/>
  <c r="E61"/>
  <c r="E60"/>
  <c r="E59"/>
  <c r="E58"/>
  <c r="E57"/>
  <c r="E56"/>
  <c r="E55"/>
  <c r="E54"/>
  <c r="E53"/>
  <c r="E52"/>
  <c r="E51"/>
  <c r="E50"/>
  <c r="E49"/>
  <c r="E48"/>
  <c r="E47"/>
  <c r="E46"/>
  <c r="E45"/>
  <c r="E44"/>
  <c r="E43"/>
  <c r="E42"/>
  <c r="E41"/>
  <c r="E40"/>
  <c r="E39"/>
  <c r="E38"/>
  <c r="E37"/>
  <c r="E36"/>
  <c r="E35"/>
  <c r="E34"/>
  <c r="E33"/>
  <c r="E32"/>
  <c r="E31"/>
  <c r="E27"/>
  <c r="E26"/>
  <c r="E25"/>
  <c r="E24"/>
  <c r="E23"/>
  <c r="E22"/>
  <c r="E20"/>
  <c r="E19"/>
  <c r="E10"/>
  <c r="E9"/>
  <c r="A114" i="9"/>
  <c r="B131" i="7" s="1"/>
  <c r="B49" i="9"/>
  <c r="B52"/>
  <c r="C10" i="4"/>
  <c r="C74"/>
  <c r="C70"/>
  <c r="C66"/>
  <c r="C61"/>
  <c r="C57"/>
  <c r="C53"/>
  <c r="C49"/>
  <c r="C45"/>
  <c r="C41"/>
  <c r="C37"/>
  <c r="C33"/>
  <c r="C26"/>
  <c r="C22"/>
  <c r="A119" i="9"/>
  <c r="B136" i="7" s="1"/>
  <c r="A111" i="9"/>
  <c r="B128" i="7" s="1"/>
  <c r="C84" i="59"/>
  <c r="E11" i="4"/>
  <c r="B22" i="55"/>
  <c r="B11" i="19"/>
  <c r="C11" i="4"/>
  <c r="G11"/>
  <c r="B12" i="37"/>
  <c r="B11" i="59"/>
  <c r="F11" i="4"/>
  <c r="A11" i="3"/>
  <c r="H11" s="1"/>
  <c r="C90" i="59"/>
  <c r="F63" i="3"/>
  <c r="C63"/>
  <c r="E63"/>
  <c r="B63"/>
  <c r="D63"/>
  <c r="G63" i="4"/>
  <c r="B75" i="55"/>
  <c r="Z75" s="1"/>
  <c r="C63" i="4"/>
  <c r="D63"/>
  <c r="F63"/>
  <c r="B42" i="55"/>
  <c r="Z42" s="1"/>
  <c r="B30" i="59"/>
  <c r="B30" i="1"/>
  <c r="B31" i="20"/>
  <c r="A30" i="3"/>
  <c r="H30" s="1"/>
  <c r="B31" i="37"/>
  <c r="B30" i="4"/>
  <c r="D29" i="3"/>
  <c r="E29"/>
  <c r="C29"/>
  <c r="F29"/>
  <c r="B29"/>
  <c r="C29" i="4"/>
  <c r="E29"/>
  <c r="F29"/>
  <c r="D29"/>
  <c r="C28" i="3"/>
  <c r="B28"/>
  <c r="E28"/>
  <c r="F28"/>
  <c r="D28"/>
  <c r="B28" i="1"/>
  <c r="B29" i="37"/>
  <c r="B29" i="20"/>
  <c r="B28" i="59"/>
  <c r="B28" i="4"/>
  <c r="B40" i="55"/>
  <c r="B28" i="19"/>
  <c r="C85" i="59"/>
  <c r="D94" i="7"/>
  <c r="B15" i="37"/>
  <c r="B26" i="55"/>
  <c r="Z26" s="1"/>
  <c r="B14" i="59"/>
  <c r="B15" i="20"/>
  <c r="A14" i="3"/>
  <c r="H14" s="1"/>
  <c r="B14" i="1"/>
  <c r="B14" i="4"/>
  <c r="B15"/>
  <c r="A15" i="3"/>
  <c r="H15" s="1"/>
  <c r="B15" i="59"/>
  <c r="B15" i="1"/>
  <c r="B16" i="20"/>
  <c r="B15" i="19"/>
  <c r="B27" i="55"/>
  <c r="Z27" s="1"/>
  <c r="B24"/>
  <c r="B12" i="59"/>
  <c r="A12" i="3"/>
  <c r="H12" s="1"/>
  <c r="B12" s="1"/>
  <c r="A13"/>
  <c r="H13" s="1"/>
  <c r="F13" s="1"/>
  <c r="F13" i="4"/>
  <c r="G13"/>
  <c r="B13" i="1"/>
  <c r="B14" i="20"/>
  <c r="E13" i="4"/>
  <c r="B13" i="59"/>
  <c r="C13" i="4"/>
  <c r="F12" i="3"/>
  <c r="D12"/>
  <c r="C12" i="4"/>
  <c r="G12"/>
  <c r="D12"/>
  <c r="E12"/>
  <c r="D131" i="7"/>
  <c r="F131"/>
  <c r="C131"/>
  <c r="D130"/>
  <c r="C130"/>
  <c r="F130"/>
  <c r="G21" i="4"/>
  <c r="B21" i="19"/>
  <c r="B33" i="55"/>
  <c r="Z33" s="1"/>
  <c r="B22" i="20"/>
  <c r="D21" i="4"/>
  <c r="F21"/>
  <c r="A21" i="3"/>
  <c r="H21" s="1"/>
  <c r="B22" i="37"/>
  <c r="C21" i="4"/>
  <c r="F16" i="3"/>
  <c r="B16"/>
  <c r="F16" i="4"/>
  <c r="C16"/>
  <c r="G16"/>
  <c r="D16" i="3"/>
  <c r="D16" i="4"/>
  <c r="E16" i="3"/>
  <c r="E16" i="4"/>
  <c r="C129" i="7"/>
  <c r="F129"/>
  <c r="D129"/>
  <c r="F105"/>
  <c r="F94"/>
  <c r="F112"/>
  <c r="E63"/>
  <c r="E136" s="1"/>
  <c r="D105"/>
  <c r="E17"/>
  <c r="E94" s="1"/>
  <c r="D112"/>
  <c r="E29"/>
  <c r="E106" s="1"/>
  <c r="E14"/>
  <c r="F88"/>
  <c r="D93"/>
  <c r="F89"/>
  <c r="F91"/>
  <c r="F92"/>
  <c r="F90"/>
  <c r="E16"/>
  <c r="D91"/>
  <c r="C87" i="59"/>
  <c r="C93"/>
  <c r="F18" i="3"/>
  <c r="D18"/>
  <c r="B18" i="19"/>
  <c r="B18" i="4"/>
  <c r="E18" i="3"/>
  <c r="C18"/>
  <c r="F17" i="4"/>
  <c r="B17" i="59"/>
  <c r="A17" i="3"/>
  <c r="H17" s="1"/>
  <c r="B18" i="37"/>
  <c r="G17" i="4"/>
  <c r="C17"/>
  <c r="D17"/>
  <c r="B17" i="1"/>
  <c r="Z29" i="55"/>
  <c r="G52" i="7"/>
  <c r="E43"/>
  <c r="E120" s="1"/>
  <c r="C92" i="59"/>
  <c r="E15" i="7"/>
  <c r="E35"/>
  <c r="E112" s="1"/>
  <c r="D138"/>
  <c r="G14"/>
  <c r="D88"/>
  <c r="D92"/>
  <c r="D90"/>
  <c r="D89"/>
  <c r="E25"/>
  <c r="E102" s="1"/>
  <c r="E26"/>
  <c r="E103" s="1"/>
  <c r="D96"/>
  <c r="E54"/>
  <c r="E127" s="1"/>
  <c r="D95"/>
  <c r="E56"/>
  <c r="D118"/>
  <c r="G50"/>
  <c r="D101"/>
  <c r="C81" i="59"/>
  <c r="E34" i="7"/>
  <c r="E111" s="1"/>
  <c r="E61"/>
  <c r="E134" s="1"/>
  <c r="G49"/>
  <c r="E33"/>
  <c r="C88" i="59"/>
  <c r="G23" i="7"/>
  <c r="C82" i="59"/>
  <c r="G37" i="7"/>
  <c r="E114"/>
  <c r="G48"/>
  <c r="G18"/>
  <c r="G66"/>
  <c r="D98"/>
  <c r="E11"/>
  <c r="E13"/>
  <c r="D122"/>
  <c r="G45"/>
  <c r="E39"/>
  <c r="E58"/>
  <c r="D104"/>
  <c r="E28"/>
  <c r="D114"/>
  <c r="F93"/>
  <c r="G53"/>
  <c r="D139"/>
  <c r="E64"/>
  <c r="G41"/>
  <c r="D109"/>
  <c r="E40"/>
  <c r="E117" s="1"/>
  <c r="G19"/>
  <c r="G24"/>
  <c r="E109"/>
  <c r="G32"/>
  <c r="E104"/>
  <c r="G27"/>
  <c r="E108"/>
  <c r="G31"/>
  <c r="E121"/>
  <c r="G44"/>
  <c r="G60"/>
  <c r="E123"/>
  <c r="G46"/>
  <c r="G42"/>
  <c r="G65"/>
  <c r="G51"/>
  <c r="E57"/>
  <c r="D59"/>
  <c r="C135"/>
  <c r="C133"/>
  <c r="C139"/>
  <c r="C132"/>
  <c r="D121"/>
  <c r="D123"/>
  <c r="D128"/>
  <c r="D133"/>
  <c r="G55"/>
  <c r="D108"/>
  <c r="E20"/>
  <c r="E97" s="1"/>
  <c r="E62"/>
  <c r="E135" s="1"/>
  <c r="E12"/>
  <c r="E30"/>
  <c r="E107" s="1"/>
  <c r="E36"/>
  <c r="F101"/>
  <c r="E22"/>
  <c r="D97"/>
  <c r="G38"/>
  <c r="G21"/>
  <c r="D115"/>
  <c r="D119"/>
  <c r="D100"/>
  <c r="C12" i="3" l="1"/>
  <c r="E12"/>
  <c r="C13"/>
  <c r="B11"/>
  <c r="F11"/>
  <c r="E11"/>
  <c r="C11"/>
  <c r="D11"/>
  <c r="Z22" i="55"/>
  <c r="G30" i="4"/>
  <c r="D30"/>
  <c r="C30"/>
  <c r="F30"/>
  <c r="E30"/>
  <c r="E30" i="3"/>
  <c r="D30"/>
  <c r="C30"/>
  <c r="B30"/>
  <c r="F30"/>
  <c r="E28" i="4"/>
  <c r="D28"/>
  <c r="C28"/>
  <c r="F28"/>
  <c r="G28"/>
  <c r="Z40" i="55"/>
  <c r="E105" i="7"/>
  <c r="F14" i="3"/>
  <c r="C14"/>
  <c r="D14"/>
  <c r="B14"/>
  <c r="E14"/>
  <c r="E14" i="4"/>
  <c r="D14"/>
  <c r="C14"/>
  <c r="G14"/>
  <c r="F14"/>
  <c r="C15" i="3"/>
  <c r="F15"/>
  <c r="B15"/>
  <c r="E15"/>
  <c r="D15"/>
  <c r="E15" i="4"/>
  <c r="C15"/>
  <c r="G15"/>
  <c r="F15"/>
  <c r="D15"/>
  <c r="Z24" i="55"/>
  <c r="B13" i="3"/>
  <c r="D13"/>
  <c r="E13"/>
  <c r="E131" i="7"/>
  <c r="E130"/>
  <c r="D21" i="3"/>
  <c r="C21"/>
  <c r="B21"/>
  <c r="E21"/>
  <c r="F21"/>
  <c r="E129" i="7"/>
  <c r="G16"/>
  <c r="G54"/>
  <c r="G63"/>
  <c r="E93"/>
  <c r="G26"/>
  <c r="G17"/>
  <c r="G29"/>
  <c r="E92"/>
  <c r="G15"/>
  <c r="E91"/>
  <c r="G61"/>
  <c r="G25"/>
  <c r="E18" i="4"/>
  <c r="D18"/>
  <c r="C18"/>
  <c r="G18"/>
  <c r="F18"/>
  <c r="E17" i="3"/>
  <c r="C17"/>
  <c r="B17"/>
  <c r="D17"/>
  <c r="F17"/>
  <c r="G35" i="7"/>
  <c r="G43"/>
  <c r="E89"/>
  <c r="E88"/>
  <c r="E90"/>
  <c r="G34"/>
  <c r="G28"/>
  <c r="G56"/>
  <c r="E110"/>
  <c r="G33"/>
  <c r="E137"/>
  <c r="G64"/>
  <c r="G58"/>
  <c r="G40"/>
  <c r="G13"/>
  <c r="E116"/>
  <c r="G39"/>
  <c r="G20"/>
  <c r="G57"/>
  <c r="G11"/>
  <c r="E59"/>
  <c r="D132"/>
  <c r="G30"/>
  <c r="G12"/>
  <c r="E113"/>
  <c r="G36"/>
  <c r="E99"/>
  <c r="G22"/>
  <c r="G62"/>
  <c r="E132" l="1"/>
  <c r="F59"/>
  <c r="F132" l="1"/>
  <c r="G59"/>
  <c r="C51" i="19" l="1"/>
  <c r="C51" i="59" s="1"/>
  <c r="C52" i="19"/>
  <c r="C52" i="59" s="1"/>
  <c r="H54" i="20" l="1"/>
  <c r="H31"/>
  <c r="H18"/>
  <c r="H49"/>
  <c r="H27"/>
  <c r="H25"/>
  <c r="H35"/>
  <c r="H36"/>
  <c r="H80"/>
  <c r="H64"/>
  <c r="H20"/>
  <c r="H76"/>
  <c r="H46" l="1"/>
  <c r="H28"/>
  <c r="H34"/>
  <c r="H47" l="1"/>
  <c r="H50"/>
  <c r="H26"/>
  <c r="H37"/>
  <c r="H21"/>
  <c r="H77"/>
  <c r="H55" l="1"/>
  <c r="H19"/>
  <c r="H52" l="1"/>
  <c r="H53" l="1"/>
  <c r="H12" l="1"/>
  <c r="H10" l="1"/>
  <c r="H11" l="1"/>
  <c r="H79" l="1"/>
  <c r="H78" l="1"/>
  <c r="H6" s="1"/>
</calcChain>
</file>

<file path=xl/comments1.xml><?xml version="1.0" encoding="utf-8"?>
<comments xmlns="http://schemas.openxmlformats.org/spreadsheetml/2006/main">
  <authors>
    <author>Tina Jayaweera</author>
  </authors>
  <commentList>
    <comment ref="J17" authorId="0">
      <text>
        <r>
          <rPr>
            <b/>
            <sz val="9"/>
            <color indexed="81"/>
            <rFont val="Tahoma"/>
            <family val="2"/>
          </rPr>
          <t>Tina Jayaweera:</t>
        </r>
        <r>
          <rPr>
            <sz val="9"/>
            <color indexed="81"/>
            <rFont val="Tahoma"/>
            <family val="2"/>
          </rPr>
          <t xml:space="preserve">
both new and retro</t>
        </r>
      </text>
    </comment>
    <comment ref="J35" authorId="0">
      <text>
        <r>
          <rPr>
            <b/>
            <sz val="9"/>
            <color indexed="81"/>
            <rFont val="Tahoma"/>
            <family val="2"/>
          </rPr>
          <t>Tina Jayaweera:</t>
        </r>
        <r>
          <rPr>
            <sz val="9"/>
            <color indexed="81"/>
            <rFont val="Tahoma"/>
            <family val="2"/>
          </rPr>
          <t xml:space="preserve">
includes microwaves</t>
        </r>
      </text>
    </comment>
    <comment ref="H41" authorId="0">
      <text>
        <r>
          <rPr>
            <b/>
            <sz val="9"/>
            <color indexed="81"/>
            <rFont val="Tahoma"/>
            <family val="2"/>
          </rPr>
          <t>Tina Jayaweera:</t>
        </r>
        <r>
          <rPr>
            <sz val="9"/>
            <color indexed="81"/>
            <rFont val="Tahoma"/>
            <family val="2"/>
          </rPr>
          <t xml:space="preserve">
includes laptops</t>
        </r>
      </text>
    </comment>
    <comment ref="J41" authorId="0">
      <text>
        <r>
          <rPr>
            <b/>
            <sz val="9"/>
            <color indexed="81"/>
            <rFont val="Tahoma"/>
            <family val="2"/>
          </rPr>
          <t>Tina Jayaweera:</t>
        </r>
        <r>
          <rPr>
            <sz val="9"/>
            <color indexed="81"/>
            <rFont val="Tahoma"/>
            <family val="2"/>
          </rPr>
          <t xml:space="preserve">
includes laptops</t>
        </r>
      </text>
    </comment>
    <comment ref="J47" authorId="0">
      <text>
        <r>
          <rPr>
            <b/>
            <sz val="9"/>
            <color indexed="81"/>
            <rFont val="Tahoma"/>
            <family val="2"/>
          </rPr>
          <t>Tina Jayaweera:</t>
        </r>
        <r>
          <rPr>
            <sz val="9"/>
            <color indexed="81"/>
            <rFont val="Tahoma"/>
            <family val="2"/>
          </rPr>
          <t xml:space="preserve">
Includes PTCS </t>
        </r>
      </text>
    </comment>
    <comment ref="J64" authorId="0">
      <text>
        <r>
          <rPr>
            <b/>
            <sz val="9"/>
            <color indexed="81"/>
            <rFont val="Tahoma"/>
            <family val="2"/>
          </rPr>
          <t>Tina Jayaweera:</t>
        </r>
        <r>
          <rPr>
            <sz val="9"/>
            <color indexed="81"/>
            <rFont val="Tahoma"/>
            <family val="2"/>
          </rPr>
          <t xml:space="preserve">
Includes all shell upgrades</t>
        </r>
      </text>
    </comment>
    <comment ref="J78" authorId="0">
      <text>
        <r>
          <rPr>
            <b/>
            <sz val="9"/>
            <color indexed="81"/>
            <rFont val="Tahoma"/>
            <family val="2"/>
          </rPr>
          <t>Tina Jayaweera:</t>
        </r>
        <r>
          <rPr>
            <sz val="9"/>
            <color indexed="81"/>
            <rFont val="Tahoma"/>
            <family val="2"/>
          </rPr>
          <t xml:space="preserve">
all segments</t>
        </r>
      </text>
    </comment>
  </commentList>
</comments>
</file>

<file path=xl/comments2.xml><?xml version="1.0" encoding="utf-8"?>
<comments xmlns="http://schemas.openxmlformats.org/spreadsheetml/2006/main">
  <authors>
    <author>Tina Jayaweera</author>
  </authors>
  <commentList>
    <comment ref="I10" authorId="0">
      <text>
        <r>
          <rPr>
            <b/>
            <sz val="9"/>
            <color indexed="81"/>
            <rFont val="Tahoma"/>
            <family val="2"/>
          </rPr>
          <t>Tina Jayaweera:</t>
        </r>
        <r>
          <rPr>
            <sz val="9"/>
            <color indexed="81"/>
            <rFont val="Tahoma"/>
            <family val="2"/>
          </rPr>
          <t xml:space="preserve">
CFL as proxy</t>
        </r>
      </text>
    </comment>
  </commentList>
</comments>
</file>

<file path=xl/comments3.xml><?xml version="1.0" encoding="utf-8"?>
<comments xmlns="http://schemas.openxmlformats.org/spreadsheetml/2006/main">
  <authors>
    <author>Tina Jayaweera</author>
  </authors>
  <commentList>
    <comment ref="C87" authorId="0">
      <text>
        <r>
          <rPr>
            <b/>
            <sz val="9"/>
            <color indexed="81"/>
            <rFont val="Tahoma"/>
            <family val="2"/>
          </rPr>
          <t>Tina Jayaweera:</t>
        </r>
        <r>
          <rPr>
            <sz val="9"/>
            <color indexed="81"/>
            <rFont val="Tahoma"/>
            <family val="2"/>
          </rPr>
          <t xml:space="preserve">
NEEA 2010 ENERGY STAR New Homes database</t>
        </r>
      </text>
    </comment>
    <comment ref="D87" authorId="0">
      <text>
        <r>
          <rPr>
            <b/>
            <sz val="9"/>
            <color indexed="81"/>
            <rFont val="Tahoma"/>
            <family val="2"/>
          </rPr>
          <t>Tina Jayaweera:</t>
        </r>
        <r>
          <rPr>
            <sz val="9"/>
            <color indexed="81"/>
            <rFont val="Tahoma"/>
            <family val="2"/>
          </rPr>
          <t xml:space="preserve">
Ecotope analysis of MF Home Builder practices(2000), used in 6PP</t>
        </r>
      </text>
    </comment>
    <comment ref="F87" authorId="0">
      <text>
        <r>
          <rPr>
            <b/>
            <sz val="9"/>
            <color indexed="81"/>
            <rFont val="Tahoma"/>
            <family val="2"/>
          </rPr>
          <t>Tina Jayaweera:</t>
        </r>
        <r>
          <rPr>
            <sz val="9"/>
            <color indexed="81"/>
            <rFont val="Tahoma"/>
            <family val="2"/>
          </rPr>
          <t xml:space="preserve">
Ecotope/ODOE eval of New MF Homes in PNW, ~2002 used in 6PP</t>
        </r>
      </text>
    </comment>
  </commentList>
</comments>
</file>

<file path=xl/comments4.xml><?xml version="1.0" encoding="utf-8"?>
<comments xmlns="http://schemas.openxmlformats.org/spreadsheetml/2006/main">
  <authors>
    <author>Tina Jayaweera</author>
  </authors>
  <commentList>
    <comment ref="F29" authorId="0">
      <text>
        <r>
          <rPr>
            <b/>
            <sz val="9"/>
            <color indexed="81"/>
            <rFont val="Tahoma"/>
            <family val="2"/>
          </rPr>
          <t>Tina Jayaweera:</t>
        </r>
        <r>
          <rPr>
            <sz val="9"/>
            <color indexed="81"/>
            <rFont val="Tahoma"/>
            <family val="2"/>
          </rPr>
          <t xml:space="preserve">
Up to debate whether EISA 2014 or EISA 2020</t>
        </r>
      </text>
    </comment>
  </commentList>
</comments>
</file>

<file path=xl/sharedStrings.xml><?xml version="1.0" encoding="utf-8"?>
<sst xmlns="http://schemas.openxmlformats.org/spreadsheetml/2006/main" count="1647" uniqueCount="630">
  <si>
    <t>Enter New Characteristics on the "VARS" tab.</t>
  </si>
  <si>
    <t>FORECAST</t>
  </si>
  <si>
    <t>Floor area forecast summary used to develop data in CHAR</t>
  </si>
  <si>
    <t>Descriptive Name</t>
  </si>
  <si>
    <t>Adjustments Made to Conservation Assessment for Code conditions</t>
  </si>
  <si>
    <t>File Link</t>
  </si>
  <si>
    <t>Version Date</t>
  </si>
  <si>
    <t>Contents</t>
  </si>
  <si>
    <t>Overview</t>
  </si>
  <si>
    <t>Lookup table for vintage cohort</t>
  </si>
  <si>
    <t>CHAR</t>
  </si>
  <si>
    <t>Lost Opp</t>
  </si>
  <si>
    <t xml:space="preserve">Key characteristics for stock by vintage cohort and building subtype.  Used to develop regional application of measures. </t>
  </si>
  <si>
    <t>FLOOR</t>
  </si>
  <si>
    <t>Characteristics</t>
  </si>
  <si>
    <t>Primary Activity</t>
  </si>
  <si>
    <t>Gross Floor Area</t>
  </si>
  <si>
    <t>Number of Stories</t>
  </si>
  <si>
    <t>&gt; 100,000</t>
  </si>
  <si>
    <t>Any</t>
  </si>
  <si>
    <t>20,000 to 100,000</t>
  </si>
  <si>
    <t>&lt; 20,000</t>
  </si>
  <si>
    <t>&gt; 50,000</t>
  </si>
  <si>
    <t>&lt;50,000</t>
  </si>
  <si>
    <t>&gt;1</t>
  </si>
  <si>
    <t>Retail Food</t>
  </si>
  <si>
    <t>&gt; 5000</t>
  </si>
  <si>
    <t>&lt;= 5000</t>
  </si>
  <si>
    <t>Health Care</t>
  </si>
  <si>
    <t>Data Source</t>
  </si>
  <si>
    <t>ACHIEV</t>
  </si>
  <si>
    <t>Fraction of Applicable Measure Available by Year</t>
  </si>
  <si>
    <t>Natural Replacement (NR) Rate, Fraction of Applicable Measure-Specific Equipment in Existing Stock that is Replaced Annually, making the measure applicable at incremental costs and savings similar to New applications.</t>
  </si>
  <si>
    <t>Non-Building Stock</t>
  </si>
  <si>
    <t>Source</t>
  </si>
  <si>
    <t>CODE</t>
  </si>
  <si>
    <t>MLIST</t>
  </si>
  <si>
    <t>MEAS ID</t>
  </si>
  <si>
    <t>FILES</t>
  </si>
  <si>
    <t>M BUNDLE ID</t>
  </si>
  <si>
    <t>This column linked to Attributes Sheets</t>
  </si>
  <si>
    <t>Master Measure List, Bundled Measures</t>
  </si>
  <si>
    <t>ACHIEVE</t>
  </si>
  <si>
    <t>Achievable rate of acquisition for measure bundles by year</t>
  </si>
  <si>
    <t>Measure Bundle Description</t>
  </si>
  <si>
    <t>Number of Measures in Bundle</t>
  </si>
  <si>
    <t>Lookup Value</t>
  </si>
  <si>
    <t>BTYPE</t>
  </si>
  <si>
    <t>Vintage Cohort for floorspace stock to which measure characteristics are applicable</t>
  </si>
  <si>
    <t>Supply Curve Worksheet</t>
  </si>
  <si>
    <t>Status</t>
  </si>
  <si>
    <t>Row</t>
  </si>
  <si>
    <t>New</t>
  </si>
  <si>
    <t>NR</t>
  </si>
  <si>
    <t>Retro</t>
  </si>
  <si>
    <t>HVAC</t>
  </si>
  <si>
    <t>End Use</t>
  </si>
  <si>
    <t>VCohort</t>
  </si>
  <si>
    <t>Office</t>
  </si>
  <si>
    <t>Big Box</t>
  </si>
  <si>
    <t>Small Box</t>
  </si>
  <si>
    <t>High End</t>
  </si>
  <si>
    <t>Anchor</t>
  </si>
  <si>
    <t>Retail</t>
  </si>
  <si>
    <t>School</t>
  </si>
  <si>
    <t>K-12</t>
  </si>
  <si>
    <t>Warehouse</t>
  </si>
  <si>
    <t>Grocery</t>
  </si>
  <si>
    <t>Restaurant</t>
  </si>
  <si>
    <t>Lodging</t>
  </si>
  <si>
    <t>Hospital</t>
  </si>
  <si>
    <t>OtherHealth</t>
  </si>
  <si>
    <t>MIniMart</t>
  </si>
  <si>
    <t>Other</t>
  </si>
  <si>
    <t>University</t>
  </si>
  <si>
    <t>Large Off</t>
  </si>
  <si>
    <t>Medium Off</t>
  </si>
  <si>
    <t>Small Off</t>
  </si>
  <si>
    <t>Supermarket</t>
  </si>
  <si>
    <t>BLDGTYPE</t>
  </si>
  <si>
    <t>Base Measure Name</t>
  </si>
  <si>
    <t>Measure Index Name</t>
  </si>
  <si>
    <t>Variable Name</t>
  </si>
  <si>
    <t>VARS</t>
  </si>
  <si>
    <t>Definition</t>
  </si>
  <si>
    <t>Ecotope Building Type</t>
  </si>
  <si>
    <t>NPPC BUILDTYPE</t>
  </si>
  <si>
    <t>NPPC to Ecotope</t>
  </si>
  <si>
    <t>NPPC Ten</t>
  </si>
  <si>
    <t>Assembly</t>
  </si>
  <si>
    <t>College</t>
  </si>
  <si>
    <t>Workshop</t>
  </si>
  <si>
    <t>Skilled Nursing</t>
  </si>
  <si>
    <t>LINK</t>
  </si>
  <si>
    <t>APPLIC</t>
  </si>
  <si>
    <t>BASE</t>
  </si>
  <si>
    <t>Use this Syntax for lookup</t>
  </si>
  <si>
    <t>Map to Supporting Files</t>
  </si>
  <si>
    <t>STOCK</t>
  </si>
  <si>
    <t>TURN</t>
  </si>
  <si>
    <t>Variable Names used in Characteristics data</t>
  </si>
  <si>
    <t>Labels</t>
  </si>
  <si>
    <t>Map to building occupancy codes for various sources</t>
  </si>
  <si>
    <t>Lookup</t>
  </si>
  <si>
    <t>Fraction of Annual Applicable Measure Stock Achievable</t>
  </si>
  <si>
    <t>Sheet Name</t>
  </si>
  <si>
    <t>Turnover rate for stock to which measure applies.</t>
  </si>
  <si>
    <t>Tables developed to estimate regional baseline penetration for various elements of energy codes by jurisdiction</t>
  </si>
  <si>
    <t>Map of building types labels from different sources.</t>
  </si>
  <si>
    <t>Master List of measure bundles</t>
  </si>
  <si>
    <t>Overview of model structure</t>
  </si>
  <si>
    <t>Overview Sources Status</t>
  </si>
  <si>
    <t>Report Year</t>
  </si>
  <si>
    <t>Ramp</t>
  </si>
  <si>
    <t>Forecast File</t>
  </si>
  <si>
    <t xml:space="preserve">Update Log:  Log for updates to Draft 6th Plan Assessment </t>
  </si>
  <si>
    <t>Update Log</t>
  </si>
  <si>
    <t>List of variables and definitions used in the CHAR tab and elsewhere in the files.</t>
  </si>
  <si>
    <t>Vintage cohort for measure bundles.</t>
  </si>
  <si>
    <t>Baseline penetration of measure bundles.  Estimated fraction of stock where the measure is already in place.</t>
  </si>
  <si>
    <t>Applicability factor for the measure bundle.  Fraction of stock the measure applies to.</t>
  </si>
  <si>
    <t>List and links to measure-level files. Plus housekeeping and administrative functions.</t>
  </si>
  <si>
    <t>ComMaster Version</t>
  </si>
  <si>
    <t>Develop Monthy</t>
  </si>
  <si>
    <t>Run on Final Plan Elec &amp; Gas Price with No Carbon</t>
  </si>
  <si>
    <t>Most Recent Substantive Update</t>
  </si>
  <si>
    <t>Lighting</t>
  </si>
  <si>
    <t>Refrigeration</t>
  </si>
  <si>
    <t>Freezer</t>
  </si>
  <si>
    <t>Cooking</t>
  </si>
  <si>
    <t>Advanced Power Strips</t>
  </si>
  <si>
    <t>Combo DHP/HPWH units</t>
  </si>
  <si>
    <t>Behavior</t>
  </si>
  <si>
    <t>ECM for HVAC ventilation</t>
  </si>
  <si>
    <t>WH Pipe insulation</t>
  </si>
  <si>
    <t>Single Family</t>
  </si>
  <si>
    <t>Multifamily - Low Rise</t>
  </si>
  <si>
    <t>Multifamily - High Rise</t>
  </si>
  <si>
    <t>Manufactured</t>
  </si>
  <si>
    <t>Post2014</t>
  </si>
  <si>
    <t>Electric FAF - HZ1CZ1</t>
  </si>
  <si>
    <t>Electric FAF - HZ1</t>
  </si>
  <si>
    <t>Electric FAF w/ CAC - HZ1CZ1</t>
  </si>
  <si>
    <t>Heat Pump - HZ1CZ1</t>
  </si>
  <si>
    <t>Electric Zonal - HZ1CZ1</t>
  </si>
  <si>
    <t>Electric Zonal - HZ1</t>
  </si>
  <si>
    <t>Central AC - CZ1</t>
  </si>
  <si>
    <t>Room A/C - CZ1</t>
  </si>
  <si>
    <t>Refrigerator</t>
  </si>
  <si>
    <t>Dishwasher</t>
  </si>
  <si>
    <t>Microwave</t>
  </si>
  <si>
    <t>Electric Oven</t>
  </si>
  <si>
    <t>TV</t>
  </si>
  <si>
    <t>Set top box</t>
  </si>
  <si>
    <t>Computer</t>
  </si>
  <si>
    <t>Monitor</t>
  </si>
  <si>
    <t>Lighting Controls</t>
  </si>
  <si>
    <t>Vars</t>
  </si>
  <si>
    <t>Baseline Measure Life</t>
  </si>
  <si>
    <t>EE Measure Life</t>
  </si>
  <si>
    <t>Pre2014</t>
  </si>
  <si>
    <t>Whole house/attic fan</t>
  </si>
  <si>
    <t># Bldgs</t>
  </si>
  <si>
    <t>UEC</t>
  </si>
  <si>
    <t xml:space="preserve">USE FOR ROUGH APPROXIMATION ONLY. </t>
  </si>
  <si>
    <t xml:space="preserve">ESTIMATE OF 2012 ELECTRIC UEC (kWh/bldg) BY BUILDING TYPE AND SPACE HEAT FUEL. </t>
  </si>
  <si>
    <t xml:space="preserve">Update Log:  Log for updates to Draft 7th Plan Assessment </t>
  </si>
  <si>
    <t xml:space="preserve">Reference UEC from various sources including RECS &amp; RBSA.  </t>
  </si>
  <si>
    <t>Current Saturation of Measure</t>
  </si>
  <si>
    <t>forced air furnace saturation in heating zone 1 cooling zone 1</t>
  </si>
  <si>
    <t>Fraction of units where measure is technically feasible</t>
  </si>
  <si>
    <t>Product of Feasibility &amp; (1-Baseline Saturation)</t>
  </si>
  <si>
    <t>Measure Saturations by Buiding Type</t>
  </si>
  <si>
    <t>WallSqft</t>
  </si>
  <si>
    <t>AtticSqft</t>
  </si>
  <si>
    <t>FloorSqft</t>
  </si>
  <si>
    <t>WindowSqft</t>
  </si>
  <si>
    <t>ResWx</t>
  </si>
  <si>
    <t>HomeSqft</t>
  </si>
  <si>
    <t>Aerator</t>
  </si>
  <si>
    <t>Measure Details</t>
  </si>
  <si>
    <t>Segment</t>
  </si>
  <si>
    <t>Baseline</t>
  </si>
  <si>
    <t>Incandescent</t>
  </si>
  <si>
    <t>Water Heating</t>
  </si>
  <si>
    <t>Oven</t>
  </si>
  <si>
    <t>Zonal</t>
  </si>
  <si>
    <t>Electric FAF</t>
  </si>
  <si>
    <t>Attic Insulation</t>
  </si>
  <si>
    <t>Wall Insulation</t>
  </si>
  <si>
    <t xml:space="preserve">Floor Insulation </t>
  </si>
  <si>
    <t>Windows</t>
  </si>
  <si>
    <t>Infiltration</t>
  </si>
  <si>
    <t>Aerators</t>
  </si>
  <si>
    <t>Fed Std 2013</t>
  </si>
  <si>
    <t>Fed Std 2015</t>
  </si>
  <si>
    <t>1.5 GPM</t>
  </si>
  <si>
    <t>2.5 GPM</t>
  </si>
  <si>
    <t>Efficient Oven</t>
  </si>
  <si>
    <t>Fed Std 2012</t>
  </si>
  <si>
    <t>Fed Std 2016</t>
  </si>
  <si>
    <t>Efficient Microwave</t>
  </si>
  <si>
    <t>Single/Double Pane</t>
  </si>
  <si>
    <t>High leakage</t>
  </si>
  <si>
    <t>Code-avg</t>
  </si>
  <si>
    <t>Leaky ducts</t>
  </si>
  <si>
    <t>WIFI enabled tstats</t>
  </si>
  <si>
    <t>HRV</t>
  </si>
  <si>
    <t>ENERGY STAR</t>
  </si>
  <si>
    <t>DHP + HPWH</t>
  </si>
  <si>
    <t>Heat pump dryer</t>
  </si>
  <si>
    <t>ENERGY STAR fridge</t>
  </si>
  <si>
    <t>Fed Std 2014</t>
  </si>
  <si>
    <t>ENERGY STAR freezer</t>
  </si>
  <si>
    <t>ENERGY STAR Monitor</t>
  </si>
  <si>
    <t>Std Monitor</t>
  </si>
  <si>
    <t>ENERGY STAR Computer</t>
  </si>
  <si>
    <t>Std Computer</t>
  </si>
  <si>
    <t>R4 insulation</t>
  </si>
  <si>
    <t>PV system</t>
  </si>
  <si>
    <t>VSD Pump for well water</t>
  </si>
  <si>
    <t>SRCC certified SWH</t>
  </si>
  <si>
    <t>Low/No insulation</t>
  </si>
  <si>
    <t>Vintage</t>
  </si>
  <si>
    <t>PTCS-level sealing</t>
  </si>
  <si>
    <t>Equip</t>
  </si>
  <si>
    <t>Equip/Disc</t>
  </si>
  <si>
    <t>Disc</t>
  </si>
  <si>
    <t>SF</t>
  </si>
  <si>
    <t>DWH &lt;55 inside</t>
  </si>
  <si>
    <t>EISA x</t>
  </si>
  <si>
    <t>EISA nx</t>
  </si>
  <si>
    <t>DHW &gt;55 outside unbuffer</t>
  </si>
  <si>
    <t>DHW &lt; 55 outside unbuffer</t>
  </si>
  <si>
    <t>DHW &lt;55 outside buffer</t>
  </si>
  <si>
    <t>DHW &gt;55 inside</t>
  </si>
  <si>
    <t>DHW &gt;55 outside buffer</t>
  </si>
  <si>
    <t>All Cohorts RBSA 2012</t>
  </si>
  <si>
    <t>DOE</t>
  </si>
  <si>
    <t>RTF</t>
  </si>
  <si>
    <t>NEEA?</t>
  </si>
  <si>
    <t>Emerging Tech</t>
  </si>
  <si>
    <t>ASHP 9.0 HSPF/14 SEER</t>
  </si>
  <si>
    <t>ASHP 8.5 HSPF/14 SEER</t>
  </si>
  <si>
    <t>8.5HSPF/14SEER</t>
  </si>
  <si>
    <t>VS ASHP 12.0 HSPF/18 SEER + PTCS</t>
  </si>
  <si>
    <t>DHP 9.5 HSPF</t>
  </si>
  <si>
    <t>adjust per new std</t>
  </si>
  <si>
    <t>Savings Notes</t>
  </si>
  <si>
    <t>Savings Sources</t>
  </si>
  <si>
    <t>Baseline Saturation</t>
  </si>
  <si>
    <t>Electric FAF - HZ1CZ23</t>
  </si>
  <si>
    <t>Electric FAF - HZ23CZ1</t>
  </si>
  <si>
    <t>Electric FAF - HZ23CZ23</t>
  </si>
  <si>
    <t>Electric FAF - HZ23</t>
  </si>
  <si>
    <t>Electric FAF w/ CAC - HZ1CZ23</t>
  </si>
  <si>
    <t>Electric FAF w/ CAC - HZ23CZ1</t>
  </si>
  <si>
    <t>Electric FAF w/ CAC - HZ23CZ23</t>
  </si>
  <si>
    <t>Heat Pump - HZ1CZ23</t>
  </si>
  <si>
    <t>Heat Pump - HZ23CZ1</t>
  </si>
  <si>
    <t>Heat Pump - HZ23CZ23</t>
  </si>
  <si>
    <t>Electric Zonal - HZ1CZ23</t>
  </si>
  <si>
    <t>Electric Zonal - HZ23CZ1</t>
  </si>
  <si>
    <t>Electric Zonal - HZ23CZ23</t>
  </si>
  <si>
    <t>Electric Zonal - HZ23</t>
  </si>
  <si>
    <t>Central AC - CZ23</t>
  </si>
  <si>
    <t>Room A/C - CZ23</t>
  </si>
  <si>
    <t>Heat Pump - HZ1</t>
  </si>
  <si>
    <t>Heat Pump - HZ23</t>
  </si>
  <si>
    <t>Electric FAF - Region</t>
  </si>
  <si>
    <t>Heat Pump - Region</t>
  </si>
  <si>
    <t>Electric Zonal - Region</t>
  </si>
  <si>
    <t>DHP - HZ1CZ1</t>
  </si>
  <si>
    <t>DHP - HZ1CZ23</t>
  </si>
  <si>
    <t>DHP - HZ23CZ1</t>
  </si>
  <si>
    <t>DHP - HZ23CZ23</t>
  </si>
  <si>
    <t>DHP - HZ1</t>
  </si>
  <si>
    <t>DHP - HZ23</t>
  </si>
  <si>
    <t>DHP - Region</t>
  </si>
  <si>
    <t xml:space="preserve">DHW &lt;55 </t>
  </si>
  <si>
    <t>DHW &gt;55</t>
  </si>
  <si>
    <t>NEW</t>
  </si>
  <si>
    <t>RBSA</t>
  </si>
  <si>
    <t xml:space="preserve">Gen folks? </t>
  </si>
  <si>
    <t>Baseline Notes</t>
  </si>
  <si>
    <t>Cost Source</t>
  </si>
  <si>
    <t>Cost Notes</t>
  </si>
  <si>
    <t>DOE?</t>
  </si>
  <si>
    <t>DOE/NEEA?</t>
  </si>
  <si>
    <t>6PP assumptions?</t>
  </si>
  <si>
    <t>E3T</t>
  </si>
  <si>
    <t>SF only, RBSA</t>
  </si>
  <si>
    <t xml:space="preserve">E3T </t>
  </si>
  <si>
    <t xml:space="preserve">http://e3tnw.org/ItemDetail.aspx?id=156 </t>
  </si>
  <si>
    <t>ER space heat/0.95 EF WH</t>
  </si>
  <si>
    <t>http://e3tnw.org/ItemDetail.aspx?id=240</t>
  </si>
  <si>
    <t>ETO CPA/Opower/E3T</t>
  </si>
  <si>
    <t>ETO CPA/Tendril/E3T/EnOcean</t>
  </si>
  <si>
    <t>LED/CFL Specialty</t>
  </si>
  <si>
    <t>Daylighting/Occ Sensors</t>
  </si>
  <si>
    <t>ETO blessing, other TRM</t>
  </si>
  <si>
    <t>BPM motor</t>
  </si>
  <si>
    <t>PSC motor</t>
  </si>
  <si>
    <t>RBSA (homes w/ &lt; 2.0 GPM)</t>
  </si>
  <si>
    <t>ATTIC R0 - R38</t>
  </si>
  <si>
    <t>ATTIC R0 - R49</t>
  </si>
  <si>
    <t>ATTIC R11 - R38</t>
  </si>
  <si>
    <t>ATTIC R11 - R49</t>
  </si>
  <si>
    <t>ATTIC R19 - R38</t>
  </si>
  <si>
    <t>ATTIC R19 - R49</t>
  </si>
  <si>
    <t>WALL R0 - R11</t>
  </si>
  <si>
    <t>FLOOR R0 - R19</t>
  </si>
  <si>
    <t>FLOOR R0 - R25</t>
  </si>
  <si>
    <t>FLOOR R0 - R30</t>
  </si>
  <si>
    <t>WINDOW CL30 Prime Window Replacement of Single Pane Base</t>
  </si>
  <si>
    <t>WINDOW CL30 Prime Window Replacement of Double Pane Base</t>
  </si>
  <si>
    <t>WINDOW CL22 Prime Window Replacement of Single Pane Base</t>
  </si>
  <si>
    <t>WINDOW CL22 Prime Window Replacement of Double Pane Base</t>
  </si>
  <si>
    <t>CFM50 Infiltration Reduction</t>
  </si>
  <si>
    <t>Percent</t>
  </si>
  <si>
    <t>x</t>
  </si>
  <si>
    <t>New from 6PP?</t>
  </si>
  <si>
    <t>Electric WH</t>
  </si>
  <si>
    <t>SF,MF</t>
  </si>
  <si>
    <t>v1</t>
  </si>
  <si>
    <t>REGION</t>
  </si>
  <si>
    <t>% of region</t>
  </si>
  <si>
    <t>v0 - need to update w/ new standards</t>
  </si>
  <si>
    <t>Category Name</t>
  </si>
  <si>
    <t>HVAC System</t>
  </si>
  <si>
    <t>Envelope</t>
  </si>
  <si>
    <t>Electronics</t>
  </si>
  <si>
    <t>Lamps/Fixtures</t>
  </si>
  <si>
    <t>Food Preparation</t>
  </si>
  <si>
    <t>Water Using Devices</t>
  </si>
  <si>
    <t>Plug Load</t>
  </si>
  <si>
    <t>Freezers</t>
  </si>
  <si>
    <t>Refrigerators</t>
  </si>
  <si>
    <t>Water Heaters</t>
  </si>
  <si>
    <t>Heat Recovery</t>
  </si>
  <si>
    <t>Pipe Insulation</t>
  </si>
  <si>
    <t>Whole Bldg/Meter Level</t>
  </si>
  <si>
    <t>Whole Bldg/Meter Level System Improvements</t>
  </si>
  <si>
    <t>Computer Technologies</t>
  </si>
  <si>
    <t>HVAC System/Water Heaters</t>
  </si>
  <si>
    <t>Motors/Drives</t>
  </si>
  <si>
    <t>Dryers</t>
  </si>
  <si>
    <t>HVAC System Controls</t>
  </si>
  <si>
    <t>Power Strips</t>
  </si>
  <si>
    <t>Insulation</t>
  </si>
  <si>
    <t>Display</t>
  </si>
  <si>
    <t>Desktop Computer</t>
  </si>
  <si>
    <t>Clothes Dryer</t>
  </si>
  <si>
    <t>Heat Recovery Improvements</t>
  </si>
  <si>
    <t>Variable Speed Heat Pumps</t>
  </si>
  <si>
    <t>Air Source Heat Pump</t>
  </si>
  <si>
    <t>Ductless Heat Pump</t>
  </si>
  <si>
    <t>Duct Sealing</t>
  </si>
  <si>
    <t>Thermostats</t>
  </si>
  <si>
    <t>Lamps</t>
  </si>
  <si>
    <t>Drain Water Heat Recovery</t>
  </si>
  <si>
    <t>Heat Pump Water Heaters</t>
  </si>
  <si>
    <t>Solar Water Heaters</t>
  </si>
  <si>
    <t>Dishwashers</t>
  </si>
  <si>
    <t>Clothes Washers</t>
  </si>
  <si>
    <t>Showerheads</t>
  </si>
  <si>
    <t>Photovoltaics</t>
  </si>
  <si>
    <t>Behavioral</t>
  </si>
  <si>
    <t>Automation</t>
  </si>
  <si>
    <t>Whole House Fan</t>
  </si>
  <si>
    <t>Furnace Fan</t>
  </si>
  <si>
    <t>LED/CFL Standard</t>
  </si>
  <si>
    <t>EISA 2014 &amp; 2020</t>
  </si>
  <si>
    <t>Motors/Drives Controls</t>
  </si>
  <si>
    <t>Motors/Drives Control Improvements (VFD)</t>
  </si>
  <si>
    <t>No Heat Recovery</t>
  </si>
  <si>
    <t>Heat recovery unit</t>
  </si>
  <si>
    <t>1.0 GPM</t>
  </si>
  <si>
    <t>Home Energy Reports</t>
  </si>
  <si>
    <t>Standard Home</t>
  </si>
  <si>
    <t>No Report</t>
  </si>
  <si>
    <t>No PV system</t>
  </si>
  <si>
    <t>ENERGY STAR Dishwasher</t>
  </si>
  <si>
    <t>ENERGY STAR Clothes Washer</t>
  </si>
  <si>
    <t>Standard WH</t>
  </si>
  <si>
    <t>0.95 EF WH</t>
  </si>
  <si>
    <t>Single-Speed Motor</t>
  </si>
  <si>
    <t>Standard Outlet</t>
  </si>
  <si>
    <t>No Insulation</t>
  </si>
  <si>
    <t>No Controls</t>
  </si>
  <si>
    <t>Manual thermostat</t>
  </si>
  <si>
    <t>No Fan</t>
  </si>
  <si>
    <t>Natural Ventilation</t>
  </si>
  <si>
    <t>Standard Dryer</t>
  </si>
  <si>
    <t>Measure Name</t>
  </si>
  <si>
    <t>HVAC/Water Heating</t>
  </si>
  <si>
    <t>Smart Devices</t>
  </si>
  <si>
    <t>All</t>
  </si>
  <si>
    <t>Existing</t>
  </si>
  <si>
    <t>6PP Assumptions (based on DOE)</t>
  </si>
  <si>
    <t>RTF?</t>
  </si>
  <si>
    <t>ETO Evaluation</t>
  </si>
  <si>
    <t>in 6P, combined w/ new infiltration</t>
  </si>
  <si>
    <t>No data to inform, but standard has been in effect since 2012, so likely some penetration of efficient options. 6P assume 0%</t>
  </si>
  <si>
    <t>Baseline saturation built into measure savings estimate</t>
  </si>
  <si>
    <t>DOE TSD, zero market share at efficient tier</t>
  </si>
  <si>
    <t>prof judgement that some portion of aerators cant be retrofit</t>
  </si>
  <si>
    <t>ETO CPA</t>
  </si>
  <si>
    <t>ENERGY STAR USD Summary Report _2013</t>
  </si>
  <si>
    <t>Desktop</t>
  </si>
  <si>
    <t>Laptop</t>
  </si>
  <si>
    <t>HPWH Tier 1+</t>
  </si>
  <si>
    <t>Electric Vehicle Supply Equipment</t>
  </si>
  <si>
    <t>Efficient EVSE</t>
  </si>
  <si>
    <t>Standard EVSE</t>
  </si>
  <si>
    <t>ENERGY STAR qualified</t>
  </si>
  <si>
    <t>ATTIC R0 - R19</t>
  </si>
  <si>
    <t>ATTIC R19 - R30</t>
  </si>
  <si>
    <t>FLOOR R0 - R22</t>
  </si>
  <si>
    <t>FLOOR R11 - R22</t>
  </si>
  <si>
    <t>ATTIC R0 - R30</t>
  </si>
  <si>
    <t>ASHP</t>
  </si>
  <si>
    <t>Look up table for forecast file</t>
  </si>
  <si>
    <t>Forecast file</t>
  </si>
  <si>
    <t>WA new homes</t>
  </si>
  <si>
    <t>WA existing homes</t>
  </si>
  <si>
    <t>ID new homes</t>
  </si>
  <si>
    <t>ID existing homes</t>
  </si>
  <si>
    <t>MT new homes</t>
  </si>
  <si>
    <t>MT existing homes</t>
  </si>
  <si>
    <t>OR new homes</t>
  </si>
  <si>
    <t>OR existing homes</t>
  </si>
  <si>
    <t>Region new homes</t>
  </si>
  <si>
    <t>Region existing homes</t>
  </si>
  <si>
    <t>\\nas2\Q\SeventhPlan\Conservation Analysis\Global EE Inputs\Units Forecasts\'[7P Forecasts D1.xlsx]ResIDExistBase</t>
  </si>
  <si>
    <t>INDIRECT(VLOOKUP(ref,VSTOCK,2,FALSE)</t>
  </si>
  <si>
    <t>Estimate - need two stories, so most SF, 1/2 of MF Low Rise, and most of MF-High Rise</t>
  </si>
  <si>
    <t>Controls Commissioning and Sizing</t>
  </si>
  <si>
    <t>Controls Commissioning &amp; Sizing</t>
  </si>
  <si>
    <t>Commissioning Controls Sizing</t>
  </si>
  <si>
    <t>Standard installation</t>
  </si>
  <si>
    <t>SF, MH</t>
  </si>
  <si>
    <t>0.12 aMW of potential ID'd thru 6 going on 7</t>
  </si>
  <si>
    <t>Assumption</t>
  </si>
  <si>
    <t>https://www.aceee.org/files/proceedings/2010/data/papers/2208.pdf</t>
  </si>
  <si>
    <t>RBSA (homes w/ &lt; 2.0 GPM), accounting for 2012 accomplishments</t>
  </si>
  <si>
    <t>80% go to CL30</t>
  </si>
  <si>
    <t>80% go to CL31</t>
  </si>
  <si>
    <t>20% go to CL22</t>
  </si>
  <si>
    <t>20% go to CL23</t>
  </si>
  <si>
    <t>Estimate</t>
  </si>
  <si>
    <t>CAC Region</t>
  </si>
  <si>
    <t>MF-HR</t>
  </si>
  <si>
    <t>MF-LR</t>
  </si>
  <si>
    <t>MH</t>
  </si>
  <si>
    <t>Estimate - limiting SF/MF based on some sizing/space constraints</t>
  </si>
  <si>
    <t>Geothermal Heat Pump</t>
  </si>
  <si>
    <t>v2</t>
  </si>
  <si>
    <t>v3</t>
  </si>
  <si>
    <t>Estimate - based on electric constraints; using SF as proxy for all homes</t>
  </si>
  <si>
    <t>HP</t>
  </si>
  <si>
    <t>DHP</t>
  </si>
  <si>
    <t>saturation as of 2011 in sats tab; program activity since accounted for here</t>
  </si>
  <si>
    <t>low feasibility constraints</t>
  </si>
  <si>
    <t>don't have saturation data on HE ASHP, % based on program activity</t>
  </si>
  <si>
    <t>HPWH</t>
  </si>
  <si>
    <t>Estimate - no likely constraints</t>
  </si>
  <si>
    <t>drop, code levels high</t>
  </si>
  <si>
    <t>New 2019 fed standard will mostly render measure moot</t>
  </si>
  <si>
    <t>limited data on savings, availability</t>
  </si>
  <si>
    <t>For SF &amp; MF, this represents the relative share of different measures, for MH, all incorporated into Base</t>
  </si>
  <si>
    <t>ATTIC R0 - R22</t>
  </si>
  <si>
    <t>ATTIC R11 - R30</t>
  </si>
  <si>
    <t>Competes with FAF -&gt; ASHP measure</t>
  </si>
  <si>
    <t>DHP Ducted</t>
  </si>
  <si>
    <t>Cumulative Technically  Achievable Savings in 2035 in MWa</t>
  </si>
  <si>
    <t>\\nas2\Q\SeventhPlan\Conservation Analysis\Global EE Inputs\Units Forecasts\[7P Forecasts D2.xlsx]</t>
  </si>
  <si>
    <t>Comparable Estimate for 6th Plan</t>
  </si>
  <si>
    <t>Future Savings to Remove from 7P Forecast</t>
  </si>
  <si>
    <t>Res-GFX-7P_v2p.xlsx</t>
  </si>
  <si>
    <t>Res-EVCharger-7P_v1p.xlsx</t>
  </si>
  <si>
    <t>HP dryers only now in market in US</t>
  </si>
  <si>
    <t>Retro12Med</t>
  </si>
  <si>
    <t>Retro50Fast</t>
  </si>
  <si>
    <t>Retro20Fast</t>
  </si>
  <si>
    <t>RetroEven20</t>
  </si>
  <si>
    <t>RetroMax60</t>
  </si>
  <si>
    <t>LO12Med</t>
  </si>
  <si>
    <t>LO50Fast</t>
  </si>
  <si>
    <t>LO20Fast</t>
  </si>
  <si>
    <t>LOEven20</t>
  </si>
  <si>
    <t>LOMax60</t>
  </si>
  <si>
    <t>competes with FAF -&gt; DHP measure</t>
  </si>
  <si>
    <t>Res-HRV-7P_v1.xlsx</t>
  </si>
  <si>
    <t>v1 - proxy data, will update in ~March</t>
  </si>
  <si>
    <t>v3SF,MF; v2MH</t>
  </si>
  <si>
    <t>v1, called COP</t>
  </si>
  <si>
    <t>LO3Slow</t>
  </si>
  <si>
    <t>Retro3Slow</t>
  </si>
  <si>
    <t>Retro5Med</t>
  </si>
  <si>
    <t>LO5Med</t>
  </si>
  <si>
    <t>LO1Slow</t>
  </si>
  <si>
    <t>Retro1Slow</t>
  </si>
  <si>
    <t>EndUse_Name</t>
  </si>
  <si>
    <t>Category_Name</t>
  </si>
  <si>
    <t>Network Computer Power Management</t>
  </si>
  <si>
    <t>Entertainment</t>
  </si>
  <si>
    <t>Set Top Boxes</t>
  </si>
  <si>
    <t>Televisions</t>
  </si>
  <si>
    <t xml:space="preserve">Plug Load </t>
  </si>
  <si>
    <t>Bi-Radient Oven</t>
  </si>
  <si>
    <t>Air Sealing</t>
  </si>
  <si>
    <t>Air Conditioners</t>
  </si>
  <si>
    <t>Air-Source Heat Pumps w/Duct Sealing</t>
  </si>
  <si>
    <t>Air-Source Heat Pumps w/o Duct Sealing</t>
  </si>
  <si>
    <t>Ductless Heat Pumps</t>
  </si>
  <si>
    <t>HVAC system</t>
  </si>
  <si>
    <t>Ground-source Heat Pump</t>
  </si>
  <si>
    <t>Ground-Source Heat Pumps w/ Duct Sealing</t>
  </si>
  <si>
    <t>Ground-Source Heat Pumps w/o Duct Sealing</t>
  </si>
  <si>
    <t>Interactive HVAC System Improvements</t>
  </si>
  <si>
    <t>Sealing and Commissioning</t>
  </si>
  <si>
    <t>Sealing Commissioning and Controls</t>
  </si>
  <si>
    <t>Variable Speed Heat Pumps w/o Duct Sealing</t>
  </si>
  <si>
    <t>Fixtures</t>
  </si>
  <si>
    <t>Freezer Decommissioning</t>
  </si>
  <si>
    <t>Refrigerator Decommissioning</t>
  </si>
  <si>
    <t>Water Heat Recovery</t>
  </si>
  <si>
    <t>Homes</t>
  </si>
  <si>
    <t>Built Green Home</t>
  </si>
  <si>
    <t>EcoRated Home</t>
  </si>
  <si>
    <t>Energy Star Home</t>
  </si>
  <si>
    <t>Montana House</t>
  </si>
  <si>
    <t>NEEM Certified Home</t>
  </si>
  <si>
    <t>Unique</t>
  </si>
  <si>
    <t>Dryer</t>
  </si>
  <si>
    <t>Water heating</t>
  </si>
  <si>
    <t>GSHP</t>
  </si>
  <si>
    <t>Estimate - none reported in RBSA</t>
  </si>
  <si>
    <t>based on % of homes in rural areas</t>
  </si>
  <si>
    <t>Res-SWH-7P_v1.xlsx</t>
  </si>
  <si>
    <t>Res-GSHP-7P_v1.xlsx</t>
  </si>
  <si>
    <t>incorporated into Behavior Program</t>
  </si>
  <si>
    <t>too emerging, different to quantify in conjuction with Behavior</t>
  </si>
  <si>
    <t>no feasibility contraints, but some CW in MF common areas and are commercial-size, estimate of this portion</t>
  </si>
  <si>
    <t>Res-Aerator-7P_v4.xlsx</t>
  </si>
  <si>
    <t>Res-Showerhead-7P_v4.xlsx</t>
  </si>
  <si>
    <t>Res-Dishwasher-7P_v3.xlsx</t>
  </si>
  <si>
    <t>Res-HPWH-7P_v3.xlsx</t>
  </si>
  <si>
    <t>Res-ClothesDryer-7P_v2.xlsx</t>
  </si>
  <si>
    <t>Res-RefrigFreezer-7P_v3.xlsm</t>
  </si>
  <si>
    <t>Res-Oven-7P_v3.xlsx</t>
  </si>
  <si>
    <t>Res-Microwave-7P_v3.xlsx</t>
  </si>
  <si>
    <t>Res-Computers-7P_v4.xlsx</t>
  </si>
  <si>
    <t>Res-COP-7P_v2.xlsx</t>
  </si>
  <si>
    <t>Res-MH_Wx-7P_v3.xlsx</t>
  </si>
  <si>
    <t>need to maintain homes in control group (30%), also only include utilities with &gt;30k customers (70%)</t>
  </si>
  <si>
    <t>LO12MEd</t>
  </si>
  <si>
    <t>LightingPPA</t>
  </si>
  <si>
    <t>Lighting PPA</t>
  </si>
  <si>
    <t>Res-CCS-7P_v3.xlsx</t>
  </si>
  <si>
    <t>Res-ClothesWasher-7P_v2.xlsx</t>
  </si>
  <si>
    <t>Res-WiFitstat-7P_v3.xlsx</t>
  </si>
  <si>
    <t>Shared with WIFI thermstat, 80%/20%</t>
  </si>
  <si>
    <t xml:space="preserve">Roughly 60% of americans own smart phones: http://www.pewinternet.org/fact-sheets/mobile-technology-fact-sheet/; shared with CCS measure (80/20) to avoid double counting </t>
  </si>
  <si>
    <t>No data to inform market baseline</t>
  </si>
  <si>
    <t>Based on % of homes with&gt;10% leakage</t>
  </si>
  <si>
    <t>May not be possible for all ducts to get down to PTCS levels of 10%, though does allow for 50% drop</t>
  </si>
  <si>
    <t>Res-Duct_Seal-7P_v3.xlsx</t>
  </si>
  <si>
    <t>WasteWater Heat Recovery</t>
  </si>
  <si>
    <t>EV Supply Equip</t>
  </si>
  <si>
    <t>Clothes Washer</t>
  </si>
  <si>
    <t>Solar Water Heater</t>
  </si>
  <si>
    <t>forced air furnace saturation in heating zone 1 cooling zone 2&amp;3</t>
  </si>
  <si>
    <t>forced air furnace saturation in heating zone 2&amp;3 cooling zone 1</t>
  </si>
  <si>
    <t>forced air furnace saturation in heating zone 2&amp;3 cooling zone 2&amp;3</t>
  </si>
  <si>
    <t>forced air furnace saturation in heating zone 1</t>
  </si>
  <si>
    <t>forced air furnace saturation in heating zone 2&amp;3</t>
  </si>
  <si>
    <t>forced air furnace saturation across region</t>
  </si>
  <si>
    <t>forced air furnace saturation w/CAC in heating zone 1 cooling zone 1</t>
  </si>
  <si>
    <t>forced air furnace saturation w/CAC in heating zone 1 cooling zone 2&amp;3</t>
  </si>
  <si>
    <t>forced air furnace saturation w/CAC in heating zone 2&amp;3 cooling zone 1</t>
  </si>
  <si>
    <t>forced air furnace saturation w/CAC in heating zone 2&amp;3 cooling zone 2&amp;3</t>
  </si>
  <si>
    <t>air source heat pump saturation in heating zone 1 cooling zone 1</t>
  </si>
  <si>
    <t>air source heat pump saturation in heating zone 1 cooling zone 2&amp;3</t>
  </si>
  <si>
    <t>air source heat pump saturation in heating zone 2&amp;3 cooling zone 1</t>
  </si>
  <si>
    <t>air source heat pump saturation in heating zone 2&amp;3 cooling zone 2&amp;3</t>
  </si>
  <si>
    <t>air source heat pump saturation in heating zone 1</t>
  </si>
  <si>
    <t>air source heat pump saturation in heating zone 2&amp;3</t>
  </si>
  <si>
    <t>air source heat pump saturation across region</t>
  </si>
  <si>
    <t>ductless heat pump saturation in heating zone 1 cooling zone 1</t>
  </si>
  <si>
    <t>ductless heat pump saturation in heating zone 1 cooling zone 2&amp;3</t>
  </si>
  <si>
    <t>ductless heat pump saturation in heating zone 2&amp;3 cooling zone 1</t>
  </si>
  <si>
    <t>ductless heat pump saturation in heating zone 2&amp;3 cooling zone 2&amp;3</t>
  </si>
  <si>
    <t>ductless heat pump saturation in heating zone 1</t>
  </si>
  <si>
    <t>ductless heat pump saturation in heating zone 2&amp;3</t>
  </si>
  <si>
    <t>ductless heat pump saturation across region</t>
  </si>
  <si>
    <t>central air conditioner saturation in cooling zone 1</t>
  </si>
  <si>
    <t>central air conditioner saturation in cooling zone 2&amp;3</t>
  </si>
  <si>
    <t>room air conditioner saturation in cooling zone 1</t>
  </si>
  <si>
    <t>room air conditioner saturation in cooling zone 2&amp;3</t>
  </si>
  <si>
    <t>Electric water heater saturation in region</t>
  </si>
  <si>
    <t>Electric water heater &lt; 55 gal inside conditioned space</t>
  </si>
  <si>
    <t>Electric water heater &lt; 55 gal in buffered space</t>
  </si>
  <si>
    <t>Electric water heater &lt; 55 gal in unbuffered space</t>
  </si>
  <si>
    <t>Electric water heater &gt;= 55 gal inside conditioned space</t>
  </si>
  <si>
    <t>Electric water heater &gt;= 55 gal in buffered space</t>
  </si>
  <si>
    <t>Electric water heater &gt;= 55 gal in unbuffered space</t>
  </si>
  <si>
    <t>Saturation of EISA-exempt bulbs in homes</t>
  </si>
  <si>
    <t>Saturation of EISA-nonexempt bulbs in homes</t>
  </si>
  <si>
    <t>Average square feet of attic</t>
  </si>
  <si>
    <t>Average square feet of walls</t>
  </si>
  <si>
    <t>Average square feet of floors</t>
  </si>
  <si>
    <t>Average square feet of windows</t>
  </si>
  <si>
    <t>Averagetotal square feet of homes</t>
  </si>
  <si>
    <t>Number of bulbs per house</t>
  </si>
  <si>
    <t>Heat Recovery Ventilation</t>
  </si>
  <si>
    <t>PPA</t>
  </si>
  <si>
    <t>Res-SF_Wx-7P_v5.xlsx</t>
  </si>
  <si>
    <t>Res-PowerStrips-7P_v5.xlsx</t>
  </si>
  <si>
    <t>Res-SF_HP-7P_v4.xlsx</t>
  </si>
  <si>
    <t>Res-FAF_to_DHP-7P_v2.xlsx</t>
  </si>
  <si>
    <t>Res-Lighting-7P_v3.xlsx</t>
  </si>
  <si>
    <t>Res-Lighting_PPA-7P_v4.xlsx</t>
  </si>
  <si>
    <t>Using NEEA stock data that has LED penetration incorporated into Wattage</t>
  </si>
  <si>
    <t>Res-MF_Wx-7P_v5.xlsx</t>
  </si>
  <si>
    <t>RBSA, adding in a little to acct for recent accomplishments</t>
  </si>
  <si>
    <t>RBSA, for MF, table 31, for SF, from RTF's characteristic scenarios, adding in a little to acct for recent accomplishments</t>
  </si>
  <si>
    <t>RBSA, for MF, table 27, for SF, from RTF's characteristic scenarios, adding in a little to acct for recent accomplishments</t>
  </si>
  <si>
    <t>RBSA, for MF, table 29, for SF, from RTF's characteristic scenarios, adding in a little to acct for recent accomplishments</t>
  </si>
</sst>
</file>

<file path=xl/styles.xml><?xml version="1.0" encoding="utf-8"?>
<styleSheet xmlns="http://schemas.openxmlformats.org/spreadsheetml/2006/main">
  <numFmts count="6">
    <numFmt numFmtId="43" formatCode="_(* #,##0.00_);_(* \(#,##0.00\);_(* &quot;-&quot;??_);_(@_)"/>
    <numFmt numFmtId="164" formatCode="0.0%"/>
    <numFmt numFmtId="165" formatCode="0.0"/>
    <numFmt numFmtId="166" formatCode="_(* #,##0_);_(* \(#,##0\);_(* &quot;-&quot;??_);_(@_)"/>
    <numFmt numFmtId="167" formatCode="_(* #,##0.0_);_(* \(#,##0.0\);_(* &quot;-&quot;??_);_(@_)"/>
    <numFmt numFmtId="168" formatCode="dd\-mmm\-yy"/>
  </numFmts>
  <fonts count="21">
    <font>
      <sz val="10"/>
      <name val="Arial"/>
    </font>
    <font>
      <sz val="10"/>
      <color theme="1"/>
      <name val="Arial"/>
      <family val="2"/>
    </font>
    <font>
      <sz val="10"/>
      <color theme="1"/>
      <name val="Arial"/>
      <family val="2"/>
    </font>
    <font>
      <sz val="10"/>
      <color theme="1"/>
      <name val="Arial"/>
      <family val="2"/>
    </font>
    <font>
      <sz val="10"/>
      <name val="Arial"/>
      <family val="2"/>
    </font>
    <font>
      <sz val="10"/>
      <name val="Arial"/>
      <family val="2"/>
    </font>
    <font>
      <u/>
      <sz val="10"/>
      <color indexed="12"/>
      <name val="Arial"/>
      <family val="2"/>
    </font>
    <font>
      <b/>
      <sz val="10"/>
      <name val="Arial"/>
      <family val="2"/>
    </font>
    <font>
      <b/>
      <sz val="10"/>
      <color indexed="10"/>
      <name val="Arial"/>
      <family val="2"/>
    </font>
    <font>
      <b/>
      <i/>
      <sz val="10"/>
      <color indexed="10"/>
      <name val="Arial"/>
      <family val="2"/>
    </font>
    <font>
      <sz val="12"/>
      <name val="Arial"/>
      <family val="2"/>
    </font>
    <font>
      <b/>
      <sz val="12"/>
      <name val="Arial"/>
      <family val="2"/>
    </font>
    <font>
      <sz val="8"/>
      <name val="Arial"/>
      <family val="2"/>
    </font>
    <font>
      <b/>
      <sz val="9"/>
      <color indexed="81"/>
      <name val="Tahoma"/>
      <family val="2"/>
    </font>
    <font>
      <sz val="9"/>
      <color indexed="81"/>
      <name val="Tahoma"/>
      <family val="2"/>
    </font>
    <font>
      <sz val="10"/>
      <color rgb="FFFF0000"/>
      <name val="Arial"/>
      <family val="2"/>
    </font>
    <font>
      <sz val="11"/>
      <color theme="1"/>
      <name val="Calibri"/>
      <family val="2"/>
      <scheme val="minor"/>
    </font>
    <font>
      <strike/>
      <sz val="10"/>
      <name val="Arial"/>
      <family val="2"/>
    </font>
    <font>
      <b/>
      <sz val="10"/>
      <color theme="0"/>
      <name val="Calibri"/>
      <family val="2"/>
      <scheme val="minor"/>
    </font>
    <font>
      <sz val="10"/>
      <color theme="1"/>
      <name val="Calibri"/>
      <family val="2"/>
      <scheme val="minor"/>
    </font>
    <font>
      <strike/>
      <sz val="10"/>
      <color theme="1"/>
      <name val="Arial"/>
      <family val="2"/>
    </font>
  </fonts>
  <fills count="15">
    <fill>
      <patternFill patternType="none"/>
    </fill>
    <fill>
      <patternFill patternType="gray125"/>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14"/>
        <bgColor indexed="64"/>
      </patternFill>
    </fill>
    <fill>
      <patternFill patternType="solid">
        <fgColor indexed="49"/>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15"/>
        <bgColor indexed="64"/>
      </patternFill>
    </fill>
    <fill>
      <patternFill patternType="solid">
        <fgColor indexed="5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s>
  <cellStyleXfs count="7">
    <xf numFmtId="0" fontId="0" fillId="0" borderId="0"/>
    <xf numFmtId="43" fontId="4" fillId="0" borderId="0" applyFont="0" applyFill="0" applyBorder="0" applyAlignment="0" applyProtection="0"/>
    <xf numFmtId="0" fontId="5" fillId="2" borderId="0" applyNumberFormat="0" applyAlignment="0">
      <alignment horizontal="right"/>
    </xf>
    <xf numFmtId="0" fontId="4" fillId="3" borderId="0" applyNumberFormat="0" applyAlignment="0"/>
    <xf numFmtId="0" fontId="6" fillId="0" borderId="0" applyNumberFormat="0" applyFill="0" applyBorder="0" applyAlignment="0" applyProtection="0">
      <alignment vertical="top"/>
      <protection locked="0"/>
    </xf>
    <xf numFmtId="9" fontId="4" fillId="0" borderId="0" applyFont="0" applyFill="0" applyBorder="0" applyAlignment="0" applyProtection="0"/>
    <xf numFmtId="0" fontId="16" fillId="0" borderId="0"/>
  </cellStyleXfs>
  <cellXfs count="120">
    <xf numFmtId="0" fontId="0" fillId="0" borderId="0" xfId="0"/>
    <xf numFmtId="0" fontId="0" fillId="0" borderId="0" xfId="0" applyAlignment="1">
      <alignment horizontal="center"/>
    </xf>
    <xf numFmtId="0" fontId="0" fillId="3" borderId="0" xfId="0" applyFill="1"/>
    <xf numFmtId="0" fontId="0" fillId="3" borderId="1" xfId="0" applyFill="1" applyBorder="1"/>
    <xf numFmtId="0" fontId="0" fillId="3" borderId="2" xfId="0" applyFill="1" applyBorder="1"/>
    <xf numFmtId="0" fontId="0" fillId="4" borderId="1" xfId="0" applyFill="1" applyBorder="1"/>
    <xf numFmtId="9" fontId="0" fillId="0" borderId="0" xfId="5" applyFont="1" applyAlignment="1">
      <alignment horizontal="center"/>
    </xf>
    <xf numFmtId="9" fontId="0" fillId="0" borderId="0" xfId="5" applyFont="1" applyFill="1" applyAlignment="1">
      <alignment horizontal="center"/>
    </xf>
    <xf numFmtId="0" fontId="0" fillId="0" borderId="0" xfId="0" applyFill="1"/>
    <xf numFmtId="0" fontId="0" fillId="0" borderId="0" xfId="0" applyAlignment="1">
      <alignment wrapText="1"/>
    </xf>
    <xf numFmtId="0" fontId="0" fillId="0" borderId="0" xfId="0" applyBorder="1"/>
    <xf numFmtId="0" fontId="0" fillId="3" borderId="3" xfId="0" applyFill="1" applyBorder="1"/>
    <xf numFmtId="0" fontId="0" fillId="0" borderId="1" xfId="0" applyBorder="1"/>
    <xf numFmtId="0" fontId="0" fillId="0" borderId="0" xfId="0" applyFill="1" applyBorder="1"/>
    <xf numFmtId="164" fontId="0" fillId="0" borderId="0" xfId="0" applyNumberFormat="1"/>
    <xf numFmtId="0" fontId="0" fillId="4" borderId="0" xfId="0" applyFill="1"/>
    <xf numFmtId="0" fontId="0" fillId="3" borderId="0" xfId="0" applyFill="1" applyAlignment="1">
      <alignment wrapText="1"/>
    </xf>
    <xf numFmtId="0" fontId="7" fillId="4" borderId="1" xfId="0" applyFont="1" applyFill="1" applyBorder="1"/>
    <xf numFmtId="0" fontId="0" fillId="3" borderId="5" xfId="0" applyFill="1" applyBorder="1"/>
    <xf numFmtId="165" fontId="0" fillId="0" borderId="0" xfId="0" applyNumberFormat="1" applyFill="1" applyBorder="1"/>
    <xf numFmtId="0" fontId="8" fillId="0" borderId="0" xfId="0" applyFont="1"/>
    <xf numFmtId="1" fontId="0" fillId="0" borderId="0" xfId="0" applyNumberFormat="1" applyAlignment="1">
      <alignment horizontal="center"/>
    </xf>
    <xf numFmtId="9" fontId="0" fillId="0" borderId="0" xfId="5" applyFont="1" applyFill="1"/>
    <xf numFmtId="9" fontId="0" fillId="0" borderId="0" xfId="5" applyNumberFormat="1" applyFont="1" applyFill="1" applyAlignment="1">
      <alignment horizontal="center"/>
    </xf>
    <xf numFmtId="0" fontId="6" fillId="0" borderId="0" xfId="4" applyAlignment="1" applyProtection="1"/>
    <xf numFmtId="0" fontId="7" fillId="0" borderId="0" xfId="0" applyFont="1"/>
    <xf numFmtId="164" fontId="0" fillId="0" borderId="0" xfId="5" applyNumberFormat="1" applyFont="1"/>
    <xf numFmtId="0" fontId="9" fillId="0" borderId="0" xfId="0" applyFont="1"/>
    <xf numFmtId="0" fontId="0" fillId="3" borderId="6" xfId="0" applyFill="1" applyBorder="1"/>
    <xf numFmtId="0" fontId="8" fillId="0" borderId="1" xfId="0" applyFont="1" applyBorder="1"/>
    <xf numFmtId="9" fontId="0" fillId="0" borderId="0" xfId="5" applyFont="1"/>
    <xf numFmtId="9" fontId="0" fillId="0" borderId="0" xfId="0" applyNumberFormat="1"/>
    <xf numFmtId="0" fontId="0" fillId="3" borderId="0" xfId="0" applyFill="1" applyBorder="1" applyAlignment="1">
      <alignment wrapText="1"/>
    </xf>
    <xf numFmtId="0" fontId="0" fillId="0" borderId="5" xfId="0" applyBorder="1"/>
    <xf numFmtId="0" fontId="0" fillId="3" borderId="8" xfId="0" applyFill="1" applyBorder="1"/>
    <xf numFmtId="15" fontId="0" fillId="0" borderId="0" xfId="0" applyNumberFormat="1"/>
    <xf numFmtId="168" fontId="0" fillId="0" borderId="0" xfId="0" applyNumberFormat="1"/>
    <xf numFmtId="0" fontId="0" fillId="0" borderId="0" xfId="0" applyAlignment="1">
      <alignment horizontal="right"/>
    </xf>
    <xf numFmtId="15" fontId="9" fillId="0" borderId="0" xfId="0" applyNumberFormat="1" applyFont="1"/>
    <xf numFmtId="165" fontId="0" fillId="0" borderId="0" xfId="0" applyNumberFormat="1"/>
    <xf numFmtId="9" fontId="0" fillId="0" borderId="0" xfId="5" applyNumberFormat="1" applyFont="1"/>
    <xf numFmtId="0" fontId="0" fillId="7" borderId="0" xfId="0" applyFill="1"/>
    <xf numFmtId="0" fontId="0" fillId="3" borderId="7" xfId="0" applyFill="1" applyBorder="1"/>
    <xf numFmtId="0" fontId="0" fillId="5" borderId="0" xfId="0" applyFill="1"/>
    <xf numFmtId="0" fontId="0" fillId="8" borderId="0" xfId="0" applyFill="1"/>
    <xf numFmtId="166" fontId="0" fillId="8" borderId="0" xfId="0" applyNumberFormat="1" applyFill="1"/>
    <xf numFmtId="9" fontId="0" fillId="8" borderId="0" xfId="5" applyFont="1" applyFill="1"/>
    <xf numFmtId="166" fontId="0" fillId="7" borderId="0" xfId="0" applyNumberFormat="1" applyFill="1"/>
    <xf numFmtId="9" fontId="0" fillId="7" borderId="0" xfId="5" applyFont="1" applyFill="1"/>
    <xf numFmtId="9" fontId="0" fillId="7" borderId="1" xfId="5" applyFont="1" applyFill="1" applyBorder="1" applyAlignment="1">
      <alignment horizontal="center"/>
    </xf>
    <xf numFmtId="9" fontId="0" fillId="5" borderId="0" xfId="5" applyFont="1" applyFill="1"/>
    <xf numFmtId="164" fontId="0" fillId="7" borderId="1" xfId="5" applyNumberFormat="1" applyFont="1" applyFill="1" applyBorder="1" applyAlignment="1">
      <alignment horizontal="center"/>
    </xf>
    <xf numFmtId="9" fontId="0" fillId="7" borderId="4" xfId="0" applyNumberFormat="1" applyFill="1" applyBorder="1" applyAlignment="1">
      <alignment horizontal="center"/>
    </xf>
    <xf numFmtId="9" fontId="0" fillId="7" borderId="1" xfId="0" applyNumberFormat="1" applyFill="1" applyBorder="1" applyAlignment="1">
      <alignment horizontal="center"/>
    </xf>
    <xf numFmtId="166" fontId="0" fillId="7" borderId="1" xfId="1" applyNumberFormat="1" applyFont="1" applyFill="1" applyBorder="1" applyAlignment="1">
      <alignment horizontal="center"/>
    </xf>
    <xf numFmtId="9" fontId="0" fillId="5" borderId="0" xfId="0" applyNumberFormat="1" applyFill="1"/>
    <xf numFmtId="0" fontId="0" fillId="10" borderId="0" xfId="0" applyFill="1"/>
    <xf numFmtId="0" fontId="0" fillId="0" borderId="0" xfId="0" applyFill="1" applyAlignment="1">
      <alignment horizontal="right"/>
    </xf>
    <xf numFmtId="0" fontId="0" fillId="3" borderId="0" xfId="0" applyFill="1" applyAlignment="1">
      <alignment horizontal="center" wrapText="1"/>
    </xf>
    <xf numFmtId="166" fontId="0" fillId="0" borderId="0" xfId="1" applyNumberFormat="1" applyFont="1" applyAlignment="1">
      <alignment horizontal="right"/>
    </xf>
    <xf numFmtId="1" fontId="0" fillId="0" borderId="0" xfId="0" applyNumberFormat="1" applyAlignment="1">
      <alignment horizontal="right"/>
    </xf>
    <xf numFmtId="1" fontId="0" fillId="0" borderId="0" xfId="0" applyNumberFormat="1" applyAlignment="1"/>
    <xf numFmtId="0" fontId="0" fillId="0" borderId="0" xfId="0" applyAlignment="1"/>
    <xf numFmtId="168" fontId="0" fillId="0" borderId="0" xfId="0" applyNumberFormat="1" applyAlignment="1">
      <alignment vertical="center"/>
    </xf>
    <xf numFmtId="166" fontId="0" fillId="0" borderId="0" xfId="1" applyNumberFormat="1" applyFont="1" applyAlignment="1">
      <alignment vertical="center"/>
    </xf>
    <xf numFmtId="0" fontId="0" fillId="0" borderId="0" xfId="0" applyAlignment="1">
      <alignment vertical="center"/>
    </xf>
    <xf numFmtId="167" fontId="0" fillId="0" borderId="0" xfId="1" applyNumberFormat="1" applyFont="1" applyAlignment="1">
      <alignment vertical="center"/>
    </xf>
    <xf numFmtId="1" fontId="0" fillId="0" borderId="0" xfId="0" applyNumberFormat="1" applyAlignment="1">
      <alignment vertical="center"/>
    </xf>
    <xf numFmtId="166" fontId="0" fillId="0" borderId="0" xfId="1" applyNumberFormat="1" applyFont="1" applyFill="1" applyAlignment="1">
      <alignment vertical="center"/>
    </xf>
    <xf numFmtId="0" fontId="0" fillId="4" borderId="3" xfId="0" applyFill="1" applyBorder="1"/>
    <xf numFmtId="0" fontId="0" fillId="0" borderId="0" xfId="0" applyFill="1" applyAlignment="1">
      <alignment horizontal="center"/>
    </xf>
    <xf numFmtId="166" fontId="0" fillId="0" borderId="0" xfId="1" applyNumberFormat="1" applyFont="1" applyAlignment="1">
      <alignment horizontal="right" vertical="center"/>
    </xf>
    <xf numFmtId="164" fontId="0" fillId="5" borderId="0" xfId="5" applyNumberFormat="1" applyFont="1" applyFill="1"/>
    <xf numFmtId="0" fontId="7" fillId="6" borderId="0" xfId="0" applyFont="1" applyFill="1" applyAlignment="1">
      <alignment horizontal="center"/>
    </xf>
    <xf numFmtId="0" fontId="7" fillId="9" borderId="0" xfId="0" applyFont="1" applyFill="1" applyAlignment="1">
      <alignment horizontal="center"/>
    </xf>
    <xf numFmtId="15" fontId="0" fillId="0" borderId="0" xfId="0" applyNumberFormat="1" applyAlignment="1">
      <alignment horizontal="right"/>
    </xf>
    <xf numFmtId="0" fontId="7" fillId="8" borderId="0" xfId="0" applyFont="1" applyFill="1"/>
    <xf numFmtId="16" fontId="7" fillId="0" borderId="0" xfId="0" applyNumberFormat="1" applyFont="1" applyFill="1" applyAlignment="1">
      <alignment horizontal="left"/>
    </xf>
    <xf numFmtId="0" fontId="7" fillId="0" borderId="0" xfId="0" applyFont="1" applyFill="1" applyAlignment="1">
      <alignment horizontal="left"/>
    </xf>
    <xf numFmtId="0" fontId="11" fillId="11" borderId="0" xfId="0" applyFont="1" applyFill="1"/>
    <xf numFmtId="0" fontId="10" fillId="0" borderId="0" xfId="0" applyFont="1"/>
    <xf numFmtId="0" fontId="10" fillId="0" borderId="0" xfId="0" applyFont="1" applyFill="1"/>
    <xf numFmtId="15" fontId="0" fillId="9" borderId="0" xfId="0" applyNumberFormat="1" applyFill="1" applyAlignment="1">
      <alignment horizontal="left"/>
    </xf>
    <xf numFmtId="0" fontId="5" fillId="0" borderId="0" xfId="0" applyFont="1" applyBorder="1"/>
    <xf numFmtId="0" fontId="5" fillId="0" borderId="0" xfId="0" applyFont="1" applyFill="1" applyBorder="1"/>
    <xf numFmtId="166" fontId="0" fillId="0" borderId="0" xfId="0" applyNumberFormat="1" applyFill="1" applyBorder="1" applyAlignment="1">
      <alignment horizontal="right"/>
    </xf>
    <xf numFmtId="0" fontId="5" fillId="0" borderId="0" xfId="0" applyFont="1" applyBorder="1" applyAlignment="1">
      <alignment horizontal="right"/>
    </xf>
    <xf numFmtId="0" fontId="5" fillId="0" borderId="0" xfId="0" applyFont="1" applyFill="1" applyBorder="1" applyAlignment="1">
      <alignment horizontal="right"/>
    </xf>
    <xf numFmtId="0" fontId="0" fillId="3" borderId="3" xfId="0" applyFill="1" applyBorder="1" applyAlignment="1">
      <alignment wrapText="1"/>
    </xf>
    <xf numFmtId="0" fontId="0" fillId="0" borderId="0" xfId="0">
      <alignment readingOrder="1"/>
    </xf>
    <xf numFmtId="0" fontId="4" fillId="0" borderId="0" xfId="0" applyFont="1" applyFill="1" applyBorder="1"/>
    <xf numFmtId="0" fontId="4" fillId="2" borderId="0" xfId="2" applyFont="1" applyAlignment="1"/>
    <xf numFmtId="0" fontId="4" fillId="0" borderId="0" xfId="0" applyFont="1" applyFill="1" applyBorder="1" applyAlignment="1">
      <alignment horizontal="right"/>
    </xf>
    <xf numFmtId="0" fontId="15" fillId="0" borderId="0" xfId="0" applyFont="1"/>
    <xf numFmtId="10" fontId="0" fillId="0" borderId="0" xfId="0" applyNumberFormat="1"/>
    <xf numFmtId="9" fontId="0" fillId="0" borderId="0" xfId="5" applyFont="1" applyBorder="1"/>
    <xf numFmtId="0" fontId="0" fillId="12" borderId="0" xfId="0" quotePrefix="1" applyFill="1"/>
    <xf numFmtId="0" fontId="4" fillId="0" borderId="0" xfId="0" applyFont="1"/>
    <xf numFmtId="0" fontId="3" fillId="0" borderId="0" xfId="6" applyFont="1"/>
    <xf numFmtId="0" fontId="2" fillId="0" borderId="0" xfId="6" applyFont="1" applyFill="1"/>
    <xf numFmtId="9" fontId="0" fillId="12" borderId="0" xfId="5" applyFont="1" applyFill="1" applyAlignment="1">
      <alignment horizontal="center"/>
    </xf>
    <xf numFmtId="0" fontId="4" fillId="0" borderId="0" xfId="0" applyFont="1" applyFill="1"/>
    <xf numFmtId="0" fontId="1" fillId="0" borderId="0" xfId="6" applyFont="1" applyFill="1"/>
    <xf numFmtId="164" fontId="0" fillId="0" borderId="0" xfId="5" applyNumberFormat="1" applyFont="1" applyAlignment="1">
      <alignment horizontal="center"/>
    </xf>
    <xf numFmtId="9" fontId="0" fillId="12" borderId="0" xfId="0" applyNumberFormat="1" applyFill="1"/>
    <xf numFmtId="166" fontId="0" fillId="7" borderId="1" xfId="5" applyNumberFormat="1" applyFont="1" applyFill="1" applyBorder="1" applyAlignment="1">
      <alignment horizontal="center"/>
    </xf>
    <xf numFmtId="0" fontId="17" fillId="0" borderId="0" xfId="0" applyFont="1"/>
    <xf numFmtId="0" fontId="0" fillId="12" borderId="0" xfId="0" applyFill="1"/>
    <xf numFmtId="0" fontId="0" fillId="13" borderId="0" xfId="0" applyFill="1"/>
    <xf numFmtId="9" fontId="0" fillId="13" borderId="0" xfId="5" applyFont="1" applyFill="1"/>
    <xf numFmtId="167" fontId="0" fillId="0" borderId="0" xfId="1" applyNumberFormat="1" applyFont="1" applyAlignment="1">
      <alignment horizontal="right" vertical="center"/>
    </xf>
    <xf numFmtId="9" fontId="0" fillId="12" borderId="0" xfId="5" applyFont="1" applyFill="1"/>
    <xf numFmtId="9" fontId="0" fillId="5" borderId="0" xfId="5" applyNumberFormat="1" applyFont="1" applyFill="1"/>
    <xf numFmtId="0" fontId="0" fillId="4" borderId="5" xfId="0" applyFill="1" applyBorder="1" applyAlignment="1"/>
    <xf numFmtId="0" fontId="0" fillId="4" borderId="9" xfId="0" applyFill="1" applyBorder="1" applyAlignment="1"/>
    <xf numFmtId="0" fontId="18" fillId="14" borderId="10" xfId="6" applyFont="1" applyFill="1" applyBorder="1"/>
    <xf numFmtId="0" fontId="19" fillId="0" borderId="0" xfId="6" applyFont="1"/>
    <xf numFmtId="0" fontId="20" fillId="0" borderId="0" xfId="6" applyFont="1"/>
    <xf numFmtId="0" fontId="20" fillId="0" borderId="0" xfId="6" applyFont="1" applyFill="1"/>
    <xf numFmtId="9" fontId="0" fillId="0" borderId="0" xfId="0" applyNumberFormat="1" applyFill="1"/>
  </cellXfs>
  <cellStyles count="7">
    <cellStyle name="Comma" xfId="1" builtinId="3"/>
    <cellStyle name="Data Field" xfId="2"/>
    <cellStyle name="Data Name" xfId="3"/>
    <cellStyle name="Hyperlink" xfId="4" builtinId="8"/>
    <cellStyle name="Normal" xfId="0" builtinId="0"/>
    <cellStyle name="Normal 3 3" xfId="6"/>
    <cellStyle name="Perc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0E0D4"/>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ACEAE"/>
      <rgbColor rgb="00CC99FF"/>
      <rgbColor rgb="00EBDC9B"/>
      <rgbColor rgb="003366FF"/>
      <rgbColor rgb="0033CCCC"/>
      <rgbColor rgb="0099CC00"/>
      <rgbColor rgb="00E9C55F"/>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externalLink" Target="externalLinks/externalLink29.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externalLink" Target="externalLinks/externalLink30.xml"/><Relationship Id="rId8" Type="http://schemas.openxmlformats.org/officeDocument/2006/relationships/worksheet" Target="worksheets/sheet8.xml"/><Relationship Id="rId51"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Achievability Ramp Rates</a:t>
            </a:r>
          </a:p>
        </c:rich>
      </c:tx>
      <c:layout>
        <c:manualLayout>
          <c:xMode val="edge"/>
          <c:yMode val="edge"/>
          <c:x val="0.36338840841616132"/>
          <c:y val="3.14606741573034E-2"/>
        </c:manualLayout>
      </c:layout>
      <c:spPr>
        <a:noFill/>
        <a:ln w="25400">
          <a:noFill/>
        </a:ln>
      </c:spPr>
    </c:title>
    <c:plotArea>
      <c:layout>
        <c:manualLayout>
          <c:layoutTarget val="inner"/>
          <c:xMode val="edge"/>
          <c:yMode val="edge"/>
          <c:x val="0.15710403472938494"/>
          <c:y val="0.16404512382058004"/>
          <c:w val="0.59699533197165056"/>
          <c:h val="0.66067488223633986"/>
        </c:manualLayout>
      </c:layout>
      <c:lineChart>
        <c:grouping val="standard"/>
        <c:ser>
          <c:idx val="0"/>
          <c:order val="0"/>
          <c:tx>
            <c:strRef>
              <c:f>ACHIEV!$C$1</c:f>
              <c:strCache>
                <c:ptCount val="1"/>
                <c:pt idx="0">
                  <c:v>LO12Med</c:v>
                </c:pt>
              </c:strCache>
            </c:strRef>
          </c:tx>
          <c:spPr>
            <a:ln w="38100">
              <a:solidFill>
                <a:srgbClr val="000000"/>
              </a:solidFill>
              <a:prstDash val="solid"/>
            </a:ln>
          </c:spPr>
          <c:marker>
            <c:symbol val="none"/>
          </c:marker>
          <c:val>
            <c:numRef>
              <c:f>ACHIEV!$D$1:$W$1</c:f>
              <c:numCache>
                <c:formatCode>0%</c:formatCode>
                <c:ptCount val="20"/>
                <c:pt idx="0">
                  <c:v>0.10937459468255628</c:v>
                </c:pt>
                <c:pt idx="1">
                  <c:v>0.21874918936511256</c:v>
                </c:pt>
                <c:pt idx="2">
                  <c:v>0.32812378404766884</c:v>
                </c:pt>
                <c:pt idx="3">
                  <c:v>0.43749837873022512</c:v>
                </c:pt>
                <c:pt idx="4">
                  <c:v>0.5468729734127814</c:v>
                </c:pt>
                <c:pt idx="5">
                  <c:v>0.64531010862708205</c:v>
                </c:pt>
                <c:pt idx="6">
                  <c:v>0.7240598167985226</c:v>
                </c:pt>
                <c:pt idx="7">
                  <c:v>0.78705958333567505</c:v>
                </c:pt>
                <c:pt idx="8">
                  <c:v>0.83745939656539703</c:v>
                </c:pt>
                <c:pt idx="9">
                  <c:v>0.87777924714917455</c:v>
                </c:pt>
                <c:pt idx="10">
                  <c:v>0.91003512761619654</c:v>
                </c:pt>
                <c:pt idx="11">
                  <c:v>0.93583983198981413</c:v>
                </c:pt>
                <c:pt idx="12">
                  <c:v>0.9564835954887082</c:v>
                </c:pt>
                <c:pt idx="13">
                  <c:v>0.97299860628782353</c:v>
                </c:pt>
                <c:pt idx="14">
                  <c:v>0.9862106149271157</c:v>
                </c:pt>
                <c:pt idx="15">
                  <c:v>0.99678022183854953</c:v>
                </c:pt>
                <c:pt idx="16">
                  <c:v>0.99685231466234414</c:v>
                </c:pt>
                <c:pt idx="17">
                  <c:v>0.99687806209941365</c:v>
                </c:pt>
                <c:pt idx="18">
                  <c:v>0.99688683963477831</c:v>
                </c:pt>
                <c:pt idx="19">
                  <c:v>0.99688970187457115</c:v>
                </c:pt>
              </c:numCache>
            </c:numRef>
          </c:val>
        </c:ser>
        <c:ser>
          <c:idx val="1"/>
          <c:order val="1"/>
          <c:tx>
            <c:strRef>
              <c:f>ACHIEV!$C$2</c:f>
              <c:strCache>
                <c:ptCount val="1"/>
                <c:pt idx="0">
                  <c:v>LO5Med</c:v>
                </c:pt>
              </c:strCache>
            </c:strRef>
          </c:tx>
          <c:spPr>
            <a:ln w="38100">
              <a:solidFill>
                <a:srgbClr val="00FF00"/>
              </a:solidFill>
              <a:prstDash val="solid"/>
            </a:ln>
          </c:spPr>
          <c:marker>
            <c:symbol val="none"/>
          </c:marker>
          <c:val>
            <c:numRef>
              <c:f>ACHIEV!$D$2:$W$2</c:f>
              <c:numCache>
                <c:formatCode>0%</c:formatCode>
                <c:ptCount val="20"/>
                <c:pt idx="0">
                  <c:v>4.2999999999999997E-2</c:v>
                </c:pt>
                <c:pt idx="1">
                  <c:v>9.5797142280278316E-2</c:v>
                </c:pt>
                <c:pt idx="2">
                  <c:v>0.16040539374775648</c:v>
                </c:pt>
                <c:pt idx="3">
                  <c:v>0.23540539374775649</c:v>
                </c:pt>
                <c:pt idx="4">
                  <c:v>0.32095239121809005</c:v>
                </c:pt>
                <c:pt idx="5">
                  <c:v>0.42096711425629652</c:v>
                </c:pt>
                <c:pt idx="6">
                  <c:v>0.53068481860864725</c:v>
                </c:pt>
                <c:pt idx="7">
                  <c:v>0.642769203728351</c:v>
                </c:pt>
                <c:pt idx="8">
                  <c:v>0.74839528535557953</c:v>
                </c:pt>
                <c:pt idx="9">
                  <c:v>0.83918984935345187</c:v>
                </c:pt>
                <c:pt idx="10">
                  <c:v>0.90945051634530116</c:v>
                </c:pt>
                <c:pt idx="11">
                  <c:v>0.9576688767502457</c:v>
                </c:pt>
                <c:pt idx="12">
                  <c:v>0.9865231113648858</c:v>
                </c:pt>
                <c:pt idx="13">
                  <c:v>1.0012970762896924</c:v>
                </c:pt>
                <c:pt idx="14">
                  <c:v>1.0076356106578106</c:v>
                </c:pt>
                <c:pt idx="15">
                  <c:v>1.0098624683774413</c:v>
                </c:pt>
                <c:pt idx="16">
                  <c:v>1.0104871783970797</c:v>
                </c:pt>
                <c:pt idx="17">
                  <c:v>1.010623336815976</c:v>
                </c:pt>
                <c:pt idx="18">
                  <c:v>1.0106457174525985</c:v>
                </c:pt>
                <c:pt idx="19">
                  <c:v>1.0106484038909742</c:v>
                </c:pt>
              </c:numCache>
            </c:numRef>
          </c:val>
        </c:ser>
        <c:ser>
          <c:idx val="2"/>
          <c:order val="2"/>
          <c:tx>
            <c:strRef>
              <c:f>ACHIEV!$C$3</c:f>
              <c:strCache>
                <c:ptCount val="1"/>
                <c:pt idx="0">
                  <c:v>LO1Slow</c:v>
                </c:pt>
              </c:strCache>
            </c:strRef>
          </c:tx>
          <c:spPr>
            <a:ln w="38100">
              <a:solidFill>
                <a:srgbClr val="FFFF00"/>
              </a:solidFill>
              <a:prstDash val="solid"/>
            </a:ln>
          </c:spPr>
          <c:marker>
            <c:symbol val="none"/>
          </c:marker>
          <c:val>
            <c:numRef>
              <c:f>ACHIEV!$D$3:$W$3</c:f>
              <c:numCache>
                <c:formatCode>0%</c:formatCode>
                <c:ptCount val="20"/>
                <c:pt idx="0">
                  <c:v>2.5643970768378654E-3</c:v>
                </c:pt>
                <c:pt idx="1">
                  <c:v>7.6904586297764643E-3</c:v>
                </c:pt>
                <c:pt idx="2">
                  <c:v>1.6792013047419844E-2</c:v>
                </c:pt>
                <c:pt idx="3">
                  <c:v>3.15969387774655E-2</c:v>
                </c:pt>
                <c:pt idx="4">
                  <c:v>5.406874819795171E-2</c:v>
                </c:pt>
                <c:pt idx="5">
                  <c:v>8.6253181011834101E-2</c:v>
                </c:pt>
                <c:pt idx="6">
                  <c:v>0.1300328481838382</c:v>
                </c:pt>
                <c:pt idx="7">
                  <c:v>0.18678710893858319</c:v>
                </c:pt>
                <c:pt idx="8">
                  <c:v>0.2569823480072907</c:v>
                </c:pt>
                <c:pt idx="9">
                  <c:v>0.33975920985004748</c:v>
                </c:pt>
                <c:pt idx="10">
                  <c:v>0.43262946935754232</c:v>
                </c:pt>
                <c:pt idx="11">
                  <c:v>0.53142594003645804</c:v>
                </c:pt>
                <c:pt idx="12">
                  <c:v>0.63063487292644704</c:v>
                </c:pt>
                <c:pt idx="13">
                  <c:v>0.7241560234206913</c:v>
                </c:pt>
                <c:pt idx="14">
                  <c:v>0.80638203131755359</c:v>
                </c:pt>
                <c:pt idx="15">
                  <c:v>0.87331559734491926</c:v>
                </c:pt>
                <c:pt idx="16">
                  <c:v>0.92334516248836807</c:v>
                </c:pt>
                <c:pt idx="17">
                  <c:v>0.95737002770730018</c:v>
                </c:pt>
                <c:pt idx="18">
                  <c:v>0.97821608704807483</c:v>
                </c:pt>
                <c:pt idx="19">
                  <c:v>0.98821608704807484</c:v>
                </c:pt>
              </c:numCache>
            </c:numRef>
          </c:val>
        </c:ser>
        <c:ser>
          <c:idx val="3"/>
          <c:order val="3"/>
          <c:tx>
            <c:strRef>
              <c:f>ACHIEV!$C$4</c:f>
              <c:strCache>
                <c:ptCount val="1"/>
                <c:pt idx="0">
                  <c:v>LO50Fast</c:v>
                </c:pt>
              </c:strCache>
            </c:strRef>
          </c:tx>
          <c:spPr>
            <a:ln w="38100">
              <a:solidFill>
                <a:srgbClr val="FF0000"/>
              </a:solidFill>
              <a:prstDash val="solid"/>
            </a:ln>
          </c:spPr>
          <c:marker>
            <c:symbol val="none"/>
          </c:marker>
          <c:val>
            <c:numRef>
              <c:f>ACHIEV!$D$4:$W$4</c:f>
              <c:numCache>
                <c:formatCode>0%</c:formatCode>
                <c:ptCount val="20"/>
                <c:pt idx="0">
                  <c:v>0.45</c:v>
                </c:pt>
                <c:pt idx="1">
                  <c:v>0.66</c:v>
                </c:pt>
                <c:pt idx="2">
                  <c:v>0.8</c:v>
                </c:pt>
                <c:pt idx="3">
                  <c:v>0.89</c:v>
                </c:pt>
                <c:pt idx="4">
                  <c:v>0.94954036260972652</c:v>
                </c:pt>
                <c:pt idx="5">
                  <c:v>0.97931054391458994</c:v>
                </c:pt>
                <c:pt idx="6">
                  <c:v>0.99254173560564019</c:v>
                </c:pt>
                <c:pt idx="7">
                  <c:v>0.99783421228206048</c:v>
                </c:pt>
                <c:pt idx="8">
                  <c:v>0.99975874925530417</c:v>
                </c:pt>
                <c:pt idx="9">
                  <c:v>1.0004002615797187</c:v>
                </c:pt>
                <c:pt idx="10">
                  <c:v>1.0005976499872309</c:v>
                </c:pt>
                <c:pt idx="11">
                  <c:v>1.0006540466750915</c:v>
                </c:pt>
                <c:pt idx="12">
                  <c:v>1.0006690857918545</c:v>
                </c:pt>
                <c:pt idx="13">
                  <c:v>1.000672845571045</c:v>
                </c:pt>
                <c:pt idx="14">
                  <c:v>1.0006737302249724</c:v>
                </c:pt>
                <c:pt idx="15">
                  <c:v>1.0006739268147338</c:v>
                </c:pt>
                <c:pt idx="16">
                  <c:v>1.0006739682020522</c:v>
                </c:pt>
                <c:pt idx="17">
                  <c:v>1.0006739764795158</c:v>
                </c:pt>
                <c:pt idx="18">
                  <c:v>1.0006739780561755</c:v>
                </c:pt>
                <c:pt idx="19">
                  <c:v>1.0006739783428409</c:v>
                </c:pt>
              </c:numCache>
            </c:numRef>
          </c:val>
        </c:ser>
        <c:ser>
          <c:idx val="4"/>
          <c:order val="4"/>
          <c:tx>
            <c:strRef>
              <c:f>ACHIEV!$C$5</c:f>
              <c:strCache>
                <c:ptCount val="1"/>
                <c:pt idx="0">
                  <c:v>LO20Fast</c:v>
                </c:pt>
              </c:strCache>
            </c:strRef>
          </c:tx>
          <c:spPr>
            <a:ln w="38100">
              <a:solidFill>
                <a:srgbClr val="FF0000"/>
              </a:solidFill>
              <a:prstDash val="lgDash"/>
            </a:ln>
          </c:spPr>
          <c:marker>
            <c:symbol val="none"/>
          </c:marker>
          <c:val>
            <c:numRef>
              <c:f>ACHIEV!$D$5:$W$5</c:f>
              <c:numCache>
                <c:formatCode>0%</c:formatCode>
                <c:ptCount val="20"/>
                <c:pt idx="0">
                  <c:v>0.22119921692859512</c:v>
                </c:pt>
                <c:pt idx="1">
                  <c:v>0.37624232795148943</c:v>
                </c:pt>
                <c:pt idx="2">
                  <c:v>0.48357361352878442</c:v>
                </c:pt>
                <c:pt idx="3">
                  <c:v>0.56716330278444227</c:v>
                </c:pt>
                <c:pt idx="4">
                  <c:v>0.64040048266456928</c:v>
                </c:pt>
                <c:pt idx="5">
                  <c:v>0.70377511937632964</c:v>
                </c:pt>
                <c:pt idx="6">
                  <c:v>0.7580669577441127</c:v>
                </c:pt>
                <c:pt idx="7">
                  <c:v>0.80419335000071168</c:v>
                </c:pt>
                <c:pt idx="8">
                  <c:v>0.84311022627788457</c:v>
                </c:pt>
                <c:pt idx="9">
                  <c:v>0.87575014259103623</c:v>
                </c:pt>
                <c:pt idx="10">
                  <c:v>0.90298584871682319</c:v>
                </c:pt>
                <c:pt idx="11">
                  <c:v>0.92419703797508856</c:v>
                </c:pt>
                <c:pt idx="12">
                  <c:v>0.94071632877930145</c:v>
                </c:pt>
                <c:pt idx="13">
                  <c:v>0.95358156539340677</c:v>
                </c:pt>
                <c:pt idx="14">
                  <c:v>0.96360102174287088</c:v>
                </c:pt>
                <c:pt idx="15">
                  <c:v>0.97140418219378311</c:v>
                </c:pt>
                <c:pt idx="16">
                  <c:v>0.97748128966338554</c:v>
                </c:pt>
                <c:pt idx="17">
                  <c:v>0.98221414571952104</c:v>
                </c:pt>
                <c:pt idx="18">
                  <c:v>0.98590009772220355</c:v>
                </c:pt>
                <c:pt idx="19">
                  <c:v>0.98877072002825628</c:v>
                </c:pt>
              </c:numCache>
            </c:numRef>
          </c:val>
        </c:ser>
        <c:ser>
          <c:idx val="5"/>
          <c:order val="5"/>
          <c:tx>
            <c:strRef>
              <c:f>ACHIEV!$C$13</c:f>
              <c:strCache>
                <c:ptCount val="1"/>
                <c:pt idx="0">
                  <c:v>Retro20Fast</c:v>
                </c:pt>
              </c:strCache>
            </c:strRef>
          </c:tx>
          <c:spPr>
            <a:ln w="38100">
              <a:solidFill>
                <a:srgbClr val="FFFF00"/>
              </a:solidFill>
              <a:prstDash val="lgDash"/>
            </a:ln>
          </c:spPr>
          <c:marker>
            <c:symbol val="none"/>
          </c:marker>
          <c:val>
            <c:numRef>
              <c:f>ACHIEV!$D$13:$W$13</c:f>
              <c:numCache>
                <c:formatCode>0%</c:formatCode>
                <c:ptCount val="20"/>
                <c:pt idx="0">
                  <c:v>0.22119921692859512</c:v>
                </c:pt>
                <c:pt idx="1">
                  <c:v>0.15504311102289431</c:v>
                </c:pt>
                <c:pt idx="2">
                  <c:v>0.10733128557729499</c:v>
                </c:pt>
                <c:pt idx="3">
                  <c:v>8.3589689255657879E-2</c:v>
                </c:pt>
                <c:pt idx="4">
                  <c:v>7.3237179880126971E-2</c:v>
                </c:pt>
                <c:pt idx="5">
                  <c:v>6.3374636711760357E-2</c:v>
                </c:pt>
                <c:pt idx="6">
                  <c:v>5.4291838367783084E-2</c:v>
                </c:pt>
                <c:pt idx="7">
                  <c:v>4.612639225659896E-2</c:v>
                </c:pt>
                <c:pt idx="8">
                  <c:v>3.8916876277172864E-2</c:v>
                </c:pt>
                <c:pt idx="9">
                  <c:v>3.2639916313151704E-2</c:v>
                </c:pt>
                <c:pt idx="10">
                  <c:v>2.7235706125786907E-2</c:v>
                </c:pt>
                <c:pt idx="11">
                  <c:v>2.1211189258265428E-2</c:v>
                </c:pt>
                <c:pt idx="12">
                  <c:v>1.6519290804212883E-2</c:v>
                </c:pt>
                <c:pt idx="13">
                  <c:v>1.2865236614105324E-2</c:v>
                </c:pt>
                <c:pt idx="14">
                  <c:v>1.0019456349464106E-2</c:v>
                </c:pt>
                <c:pt idx="15">
                  <c:v>7.8031604509122832E-3</c:v>
                </c:pt>
                <c:pt idx="16">
                  <c:v>6.077107469602494E-3</c:v>
                </c:pt>
                <c:pt idx="17">
                  <c:v>4.7328560561354371E-3</c:v>
                </c:pt>
                <c:pt idx="18">
                  <c:v>3.6859520026825132E-3</c:v>
                </c:pt>
                <c:pt idx="19">
                  <c:v>2.8706223060526725E-3</c:v>
                </c:pt>
              </c:numCache>
            </c:numRef>
          </c:val>
        </c:ser>
        <c:ser>
          <c:idx val="6"/>
          <c:order val="6"/>
          <c:tx>
            <c:strRef>
              <c:f>ACHIEV!$C$15</c:f>
              <c:strCache>
                <c:ptCount val="1"/>
                <c:pt idx="0">
                  <c:v>RetroMax60</c:v>
                </c:pt>
              </c:strCache>
            </c:strRef>
          </c:tx>
          <c:spPr>
            <a:ln w="38100">
              <a:solidFill>
                <a:srgbClr val="3366FF"/>
              </a:solidFill>
              <a:prstDash val="solid"/>
            </a:ln>
          </c:spPr>
          <c:marker>
            <c:symbol val="none"/>
          </c:marker>
          <c:val>
            <c:numRef>
              <c:f>ACHIEV!$D$15:$W$15</c:f>
              <c:numCache>
                <c:formatCode>0%</c:formatCode>
                <c:ptCount val="20"/>
                <c:pt idx="0">
                  <c:v>0.01</c:v>
                </c:pt>
                <c:pt idx="1">
                  <c:v>1.9799999999999998E-2</c:v>
                </c:pt>
                <c:pt idx="2">
                  <c:v>2.9106E-2</c:v>
                </c:pt>
                <c:pt idx="3">
                  <c:v>3.7643759999999998E-2</c:v>
                </c:pt>
                <c:pt idx="4">
                  <c:v>4.5172511999999984E-2</c:v>
                </c:pt>
                <c:pt idx="5" formatCode="0.0%">
                  <c:v>4.8635737920000005E-2</c:v>
                </c:pt>
                <c:pt idx="6" formatCode="0.0%">
                  <c:v>4.587971277120001E-2</c:v>
                </c:pt>
                <c:pt idx="7" formatCode="0.0%">
                  <c:v>4.3279862380832007E-2</c:v>
                </c:pt>
                <c:pt idx="8" formatCode="0.0%">
                  <c:v>4.0827336845918161E-2</c:v>
                </c:pt>
                <c:pt idx="9" formatCode="0.0%">
                  <c:v>3.8513787757982809E-2</c:v>
                </c:pt>
                <c:pt idx="10" formatCode="0.0%">
                  <c:v>3.6331339785030448E-2</c:v>
                </c:pt>
                <c:pt idx="11" formatCode="0.0%">
                  <c:v>3.4272563863878724E-2</c:v>
                </c:pt>
                <c:pt idx="12" formatCode="0.0%">
                  <c:v>3.2330451911592284E-2</c:v>
                </c:pt>
                <c:pt idx="13" formatCode="0.0%">
                  <c:v>3.0498392969935395E-2</c:v>
                </c:pt>
                <c:pt idx="14" formatCode="0.0%">
                  <c:v>2.8770150701639075E-2</c:v>
                </c:pt>
                <c:pt idx="15" formatCode="0.0%">
                  <c:v>2.7139842161879479E-2</c:v>
                </c:pt>
                <c:pt idx="16" formatCode="0.0%">
                  <c:v>2.5601917772706373E-2</c:v>
                </c:pt>
                <c:pt idx="17" formatCode="0.0%">
                  <c:v>2.4151142432252914E-2</c:v>
                </c:pt>
                <c:pt idx="18" formatCode="0.0%">
                  <c:v>2.2782577694425266E-2</c:v>
                </c:pt>
                <c:pt idx="19" formatCode="0.0%">
                  <c:v>2.1491564958407872E-2</c:v>
                </c:pt>
              </c:numCache>
            </c:numRef>
          </c:val>
        </c:ser>
        <c:marker val="1"/>
        <c:axId val="122669696"/>
        <c:axId val="178193152"/>
      </c:lineChart>
      <c:catAx>
        <c:axId val="122669696"/>
        <c:scaling>
          <c:orientation val="minMax"/>
        </c:scaling>
        <c:axPos val="b"/>
        <c:title>
          <c:tx>
            <c:rich>
              <a:bodyPr/>
              <a:lstStyle/>
              <a:p>
                <a:pPr>
                  <a:defRPr sz="1125" b="1" i="0" u="none" strike="noStrike" baseline="0">
                    <a:solidFill>
                      <a:srgbClr val="000000"/>
                    </a:solidFill>
                    <a:latin typeface="Arial"/>
                    <a:ea typeface="Arial"/>
                    <a:cs typeface="Arial"/>
                  </a:defRPr>
                </a:pPr>
                <a:r>
                  <a:rPr lang="en-US"/>
                  <a:t>Year</a:t>
                </a:r>
              </a:p>
            </c:rich>
          </c:tx>
          <c:layout>
            <c:manualLayout>
              <c:xMode val="edge"/>
              <c:yMode val="edge"/>
              <c:x val="0.43032844255123842"/>
              <c:y val="0.90337173021911665"/>
            </c:manualLayout>
          </c:layout>
          <c:spPr>
            <a:noFill/>
            <a:ln w="25400">
              <a:noFill/>
            </a:ln>
          </c:spPr>
        </c:title>
        <c:numFmt formatCode="General" sourceLinked="1"/>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78193152"/>
        <c:crosses val="autoZero"/>
        <c:auto val="1"/>
        <c:lblAlgn val="ctr"/>
        <c:lblOffset val="100"/>
        <c:tickLblSkip val="1"/>
        <c:tickMarkSkip val="1"/>
      </c:catAx>
      <c:valAx>
        <c:axId val="178193152"/>
        <c:scaling>
          <c:orientation val="minMax"/>
          <c:max val="1"/>
        </c:scaling>
        <c:axPos val="l"/>
        <c:majorGridlines>
          <c:spPr>
            <a:ln w="3175">
              <a:solidFill>
                <a:srgbClr val="000000"/>
              </a:solidFill>
              <a:prstDash val="solid"/>
            </a:ln>
          </c:spPr>
        </c:majorGridlines>
        <c:title>
          <c:tx>
            <c:strRef>
              <c:f>ACHIEV!$AC$13</c:f>
              <c:strCache>
                <c:ptCount val="1"/>
                <c:pt idx="0">
                  <c:v>Fraction of Annual Applicable Measure Stock Achievable</c:v>
                </c:pt>
              </c:strCache>
            </c:strRef>
          </c:tx>
          <c:layout>
            <c:manualLayout>
              <c:xMode val="edge"/>
              <c:yMode val="edge"/>
              <c:x val="2.1857923497267812E-2"/>
              <c:y val="0.18651708985815676"/>
            </c:manualLayout>
          </c:layout>
          <c:spPr>
            <a:noFill/>
            <a:ln w="25400">
              <a:noFill/>
            </a:ln>
          </c:spPr>
          <c:txPr>
            <a:bodyPr/>
            <a:lstStyle/>
            <a:p>
              <a:pPr>
                <a:defRPr sz="1125" b="1" i="0" u="none" strike="noStrike" baseline="0">
                  <a:solidFill>
                    <a:srgbClr val="000000"/>
                  </a:solidFill>
                  <a:latin typeface="Arial"/>
                  <a:ea typeface="Arial"/>
                  <a:cs typeface="Arial"/>
                </a:defRPr>
              </a:pPr>
              <a:endParaRPr lang="en-US"/>
            </a:p>
          </c:txPr>
        </c:title>
        <c:numFmt formatCode="0%" sourceLinked="1"/>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22669696"/>
        <c:crosses val="autoZero"/>
        <c:crossBetween val="between"/>
      </c:valAx>
      <c:spPr>
        <a:solidFill>
          <a:srgbClr val="C0C0C0"/>
        </a:solidFill>
        <a:ln w="12700">
          <a:solidFill>
            <a:srgbClr val="808080"/>
          </a:solidFill>
          <a:prstDash val="solid"/>
        </a:ln>
      </c:spPr>
    </c:plotArea>
    <c:legend>
      <c:legendPos val="r"/>
      <c:layout>
        <c:manualLayout>
          <c:xMode val="edge"/>
          <c:yMode val="edge"/>
          <c:x val="0.78961849031166187"/>
          <c:y val="0.31235978648737295"/>
          <c:w val="0.18989099723190594"/>
          <c:h val="0.36404541567135568"/>
        </c:manualLayout>
      </c:layout>
      <c:spPr>
        <a:solidFill>
          <a:srgbClr val="FFFFFF"/>
        </a:solidFill>
        <a:ln w="3175">
          <a:solidFill>
            <a:srgbClr val="000000"/>
          </a:solidFill>
          <a:prstDash val="solid"/>
        </a:ln>
      </c:spPr>
      <c:txPr>
        <a:bodyPr/>
        <a:lstStyle/>
        <a:p>
          <a:pPr>
            <a:defRPr sz="10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28575</xdr:colOff>
      <xdr:row>3</xdr:row>
      <xdr:rowOff>142875</xdr:rowOff>
    </xdr:from>
    <xdr:to>
      <xdr:col>18</xdr:col>
      <xdr:colOff>47625</xdr:colOff>
      <xdr:row>76</xdr:row>
      <xdr:rowOff>28575</xdr:rowOff>
    </xdr:to>
    <xdr:sp macro="" textlink="">
      <xdr:nvSpPr>
        <xdr:cNvPr id="13324" name="Rectangle 1"/>
        <xdr:cNvSpPr>
          <a:spLocks noChangeArrowheads="1"/>
        </xdr:cNvSpPr>
      </xdr:nvSpPr>
      <xdr:spPr bwMode="auto">
        <a:xfrm>
          <a:off x="1104900" y="628650"/>
          <a:ext cx="16430625" cy="11706225"/>
        </a:xfrm>
        <a:prstGeom prst="rect">
          <a:avLst/>
        </a:prstGeom>
        <a:solidFill>
          <a:srgbClr val="FFFFFF"/>
        </a:solidFill>
        <a:ln w="9525">
          <a:solidFill>
            <a:srgbClr val="000000"/>
          </a:solidFill>
          <a:miter lim="800000"/>
          <a:headEnd/>
          <a:tailEnd/>
        </a:ln>
      </xdr:spPr>
    </xdr:sp>
    <xdr:clientData/>
  </xdr:twoCellAnchor>
  <xdr:twoCellAnchor>
    <xdr:from>
      <xdr:col>1</xdr:col>
      <xdr:colOff>352425</xdr:colOff>
      <xdr:row>5</xdr:row>
      <xdr:rowOff>28575</xdr:rowOff>
    </xdr:from>
    <xdr:to>
      <xdr:col>7</xdr:col>
      <xdr:colOff>352425</xdr:colOff>
      <xdr:row>73</xdr:row>
      <xdr:rowOff>0</xdr:rowOff>
    </xdr:to>
    <xdr:sp macro="" textlink="">
      <xdr:nvSpPr>
        <xdr:cNvPr id="13314" name="AutoShape 2"/>
        <xdr:cNvSpPr>
          <a:spLocks noChangeArrowheads="1"/>
        </xdr:cNvSpPr>
      </xdr:nvSpPr>
      <xdr:spPr bwMode="auto">
        <a:xfrm>
          <a:off x="1428750" y="838200"/>
          <a:ext cx="9705975" cy="10982325"/>
        </a:xfrm>
        <a:prstGeom prst="flowChartMultidocumen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ProCost Measure Workbooks:</a:t>
          </a:r>
          <a:r>
            <a:rPr lang="en-US" sz="1200" b="0" i="0" u="none" strike="noStrike" baseline="0">
              <a:solidFill>
                <a:srgbClr val="000000"/>
              </a:solidFill>
              <a:latin typeface="Arial"/>
              <a:cs typeface="Arial"/>
            </a:rPr>
            <a:t>  These workbooks contain the detailed analysis for all the measures.  Generally there is one workbook for each bundle of similar or related measures.</a:t>
          </a:r>
        </a:p>
        <a:p>
          <a:pPr algn="l" rtl="0">
            <a:defRPr sz="1000"/>
          </a:pPr>
          <a:r>
            <a:rPr lang="en-US" sz="1200" b="0" i="0" u="none" strike="noStrike" baseline="0">
              <a:solidFill>
                <a:srgbClr val="000000"/>
              </a:solidFill>
              <a:latin typeface="Arial"/>
              <a:cs typeface="Arial"/>
            </a:rPr>
            <a:t> </a:t>
          </a:r>
        </a:p>
        <a:p>
          <a:pPr algn="l" rtl="0">
            <a:defRPr sz="1000"/>
          </a:pPr>
          <a:r>
            <a:rPr lang="en-US" sz="1200" b="0" i="0" u="none" strike="noStrike" baseline="0">
              <a:solidFill>
                <a:srgbClr val="000000"/>
              </a:solidFill>
              <a:latin typeface="Arial"/>
              <a:cs typeface="Arial"/>
            </a:rPr>
            <a:t>Naming convention starts with PC (For example: PC-ECMVAV-6P-D1.xls means is the ProCost workbook for the measure Electronically Commutated Motors on VAV systems, 6th Plan, Draft 1)</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These files contain the ProCost engine used for cost-effectiveness analysis. They also contain the supporting analysis of measure cost and savings as well as links to data used to support the analysis.  They also contain supply curves for the measure bundle.</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Basic layout as follows:</a:t>
          </a:r>
        </a:p>
        <a:p>
          <a:pPr algn="l" rtl="0">
            <a:defRPr sz="1000"/>
          </a:pPr>
          <a:endParaRPr lang="en-US" sz="1200" b="0" i="0" u="none" strike="noStrike" baseline="0">
            <a:solidFill>
              <a:srgbClr val="000000"/>
            </a:solidFill>
            <a:latin typeface="Arial"/>
            <a:cs typeface="Arial"/>
          </a:endParaRPr>
        </a:p>
        <a:p>
          <a:pPr algn="l" rtl="0">
            <a:defRPr sz="1000"/>
          </a:pPr>
          <a:r>
            <a:rPr lang="en-US" sz="1200" b="0" i="0" u="sng" strike="noStrike" baseline="0">
              <a:solidFill>
                <a:srgbClr val="000000"/>
              </a:solidFill>
              <a:latin typeface="Arial"/>
              <a:cs typeface="Arial"/>
            </a:rPr>
            <a:t>SC worksheets:</a:t>
          </a:r>
          <a:r>
            <a:rPr lang="en-US" sz="1200" b="0" i="0" u="none" strike="noStrike" baseline="0">
              <a:solidFill>
                <a:srgbClr val="000000"/>
              </a:solidFill>
              <a:latin typeface="Arial"/>
              <a:cs typeface="Arial"/>
            </a:rPr>
            <a:t> Calculates supply curve total savings potential by cost bin by year.  Uses output data from MData worksheets along with unit forecasts from floor space sheet and achievability rates from ComMaster.  Usually there are several SC worksheets for new, retrofit and natural-replacement applications since cost and savings and units are different for each application.</a:t>
          </a:r>
        </a:p>
        <a:p>
          <a:pPr algn="l" rtl="0">
            <a:defRPr sz="1000"/>
          </a:pPr>
          <a:r>
            <a:rPr lang="en-US" sz="1200" b="0" i="0" u="none" strike="noStrike" baseline="0">
              <a:solidFill>
                <a:srgbClr val="000000"/>
              </a:solidFill>
              <a:latin typeface="Arial"/>
              <a:cs typeface="Arial"/>
            </a:rPr>
            <a:t>  </a:t>
          </a:r>
        </a:p>
        <a:p>
          <a:pPr algn="l" rtl="0">
            <a:defRPr sz="1000"/>
          </a:pPr>
          <a:r>
            <a:rPr lang="en-US" sz="1200" b="0" i="0" u="sng" strike="noStrike" baseline="0">
              <a:solidFill>
                <a:srgbClr val="000000"/>
              </a:solidFill>
              <a:latin typeface="Arial"/>
              <a:cs typeface="Arial"/>
            </a:rPr>
            <a:t>ProData worksheet:</a:t>
          </a:r>
          <a:r>
            <a:rPr lang="en-US" sz="1200" b="0" i="0" u="none" strike="noStrike" baseline="0">
              <a:solidFill>
                <a:srgbClr val="000000"/>
              </a:solidFill>
              <a:latin typeface="Arial"/>
              <a:cs typeface="Arial"/>
            </a:rPr>
            <a:t>   Control panel for ProCost analysis.  </a:t>
          </a:r>
        </a:p>
        <a:p>
          <a:pPr algn="l" rtl="0">
            <a:defRPr sz="1000"/>
          </a:pPr>
          <a:endParaRPr lang="en-US" sz="1200" b="0" i="0" u="none" strike="noStrike" baseline="0">
            <a:solidFill>
              <a:srgbClr val="000000"/>
            </a:solidFill>
            <a:latin typeface="Arial"/>
            <a:cs typeface="Arial"/>
          </a:endParaRPr>
        </a:p>
        <a:p>
          <a:pPr algn="l" rtl="0">
            <a:defRPr sz="1000"/>
          </a:pPr>
          <a:r>
            <a:rPr lang="en-US" sz="1200" b="0" i="0" u="sng" strike="noStrike" baseline="0">
              <a:solidFill>
                <a:srgbClr val="000000"/>
              </a:solidFill>
              <a:latin typeface="Arial"/>
              <a:cs typeface="Arial"/>
            </a:rPr>
            <a:t>MData worksheets: </a:t>
          </a:r>
          <a:r>
            <a:rPr lang="en-US" sz="1200" b="0" i="0" u="none" strike="noStrike" baseline="0">
              <a:solidFill>
                <a:srgbClr val="000000"/>
              </a:solidFill>
              <a:latin typeface="Arial"/>
              <a:cs typeface="Arial"/>
            </a:rPr>
            <a:t>Measure data sheets.  Measure level inputs and outputs for ProCost. Normalized to floor area with one to several hundred permutations of costs and savings. At least two permutations of the MData tab exist in each sheet. One is for the "measure" level which represent costs and savings for an individual measure. This provides the cost and savings estimates for individual measures regardless of the measure's applicability. The other is the "regional" level which includes costs and savings weighted for  applicability across the region. ProCost output by measure ends up here too and is passed to the supply curve sheets to develop supply curves. Inputs to MData are usually harvested from MMap tab.</a:t>
          </a:r>
        </a:p>
        <a:p>
          <a:pPr algn="l" rtl="0">
            <a:defRPr sz="1000"/>
          </a:pPr>
          <a:endParaRPr lang="en-US" sz="1200" b="0" i="0" u="none" strike="noStrike" baseline="0">
            <a:solidFill>
              <a:srgbClr val="000000"/>
            </a:solidFill>
            <a:latin typeface="Arial"/>
            <a:cs typeface="Arial"/>
          </a:endParaRPr>
        </a:p>
        <a:p>
          <a:pPr algn="l" rtl="0">
            <a:defRPr sz="1000"/>
          </a:pPr>
          <a:r>
            <a:rPr lang="en-US" sz="1200" b="0" i="0" u="sng" strike="noStrike" baseline="0">
              <a:solidFill>
                <a:srgbClr val="000000"/>
              </a:solidFill>
              <a:latin typeface="Arial"/>
              <a:cs typeface="Arial"/>
            </a:rPr>
            <a:t>MMap worksheet: </a:t>
          </a:r>
          <a:r>
            <a:rPr lang="en-US" sz="1200" b="0" i="0" u="none" strike="noStrike" baseline="0">
              <a:solidFill>
                <a:srgbClr val="000000"/>
              </a:solidFill>
              <a:latin typeface="Arial"/>
              <a:cs typeface="Arial"/>
            </a:rPr>
            <a:t> Measure Map. Used to assign costs and savings inputs to each application and permutation of the measure. Feeds MData worksheets. </a:t>
          </a:r>
        </a:p>
        <a:p>
          <a:pPr algn="l" rtl="0">
            <a:defRPr sz="1000"/>
          </a:pPr>
          <a:endParaRPr lang="en-US" sz="1200" b="0" i="0" u="none" strike="noStrike" baseline="0">
            <a:solidFill>
              <a:srgbClr val="000000"/>
            </a:solidFill>
            <a:latin typeface="Arial"/>
            <a:cs typeface="Arial"/>
          </a:endParaRPr>
        </a:p>
        <a:p>
          <a:pPr algn="l" rtl="0">
            <a:defRPr sz="1000"/>
          </a:pPr>
          <a:r>
            <a:rPr lang="en-US" sz="1200" b="0" i="0" u="sng" strike="noStrike" baseline="0">
              <a:solidFill>
                <a:srgbClr val="000000"/>
              </a:solidFill>
              <a:latin typeface="Arial"/>
              <a:cs typeface="Arial"/>
            </a:rPr>
            <a:t>Notes and Sources worksheet</a:t>
          </a:r>
          <a:r>
            <a:rPr lang="en-US" sz="1200" b="0" i="0" u="none" strike="noStrike" baseline="0">
              <a:solidFill>
                <a:srgbClr val="000000"/>
              </a:solidFill>
              <a:latin typeface="Arial"/>
              <a:cs typeface="Arial"/>
            </a:rPr>
            <a:t> Contains notes, savings calculations and links to sources.</a:t>
          </a:r>
        </a:p>
        <a:p>
          <a:pPr algn="l" rtl="0">
            <a:defRPr sz="1000"/>
          </a:pPr>
          <a:endParaRPr lang="en-US" sz="1200" b="0" i="0" u="none" strike="noStrike" baseline="0">
            <a:solidFill>
              <a:srgbClr val="000000"/>
            </a:solidFill>
            <a:latin typeface="Arial"/>
            <a:cs typeface="Arial"/>
          </a:endParaRPr>
        </a:p>
        <a:p>
          <a:pPr algn="l" rtl="0">
            <a:defRPr sz="1000"/>
          </a:pPr>
          <a:r>
            <a:rPr lang="en-US" sz="1200" b="0" i="0" u="sng" strike="noStrike" baseline="0">
              <a:solidFill>
                <a:srgbClr val="000000"/>
              </a:solidFill>
              <a:latin typeface="Arial"/>
              <a:cs typeface="Arial"/>
            </a:rPr>
            <a:t>Supporting worksheets</a:t>
          </a:r>
          <a:r>
            <a:rPr lang="en-US" sz="1200" b="0" i="0" u="none" strike="noStrike" baseline="0">
              <a:solidFill>
                <a:srgbClr val="000000"/>
              </a:solidFill>
              <a:latin typeface="Arial"/>
              <a:cs typeface="Arial"/>
            </a:rPr>
            <a:t>:  A variety of supporting worksheets, documentation and administrative notes are also included. </a:t>
          </a:r>
        </a:p>
        <a:p>
          <a:pPr algn="l" rtl="0">
            <a:defRPr sz="1000"/>
          </a:pPr>
          <a:endParaRPr lang="en-US" sz="1200" b="0" i="0" u="none" strike="noStrike" baseline="0">
            <a:solidFill>
              <a:srgbClr val="000000"/>
            </a:solidFill>
            <a:latin typeface="Arial"/>
            <a:cs typeface="Arial"/>
          </a:endParaRPr>
        </a:p>
        <a:p>
          <a:pPr algn="l" rtl="0">
            <a:defRPr sz="1000"/>
          </a:pPr>
          <a:r>
            <a:rPr lang="en-US" sz="1200" b="0" i="0" u="sng" strike="noStrike" baseline="0">
              <a:solidFill>
                <a:srgbClr val="000000"/>
              </a:solidFill>
              <a:latin typeface="Arial"/>
              <a:cs typeface="Arial"/>
            </a:rPr>
            <a:t>6PSourceSummary:</a:t>
          </a:r>
          <a:r>
            <a:rPr lang="en-US" sz="1200" b="0" i="0" u="none" strike="noStrike" baseline="0">
              <a:solidFill>
                <a:srgbClr val="000000"/>
              </a:solidFill>
              <a:latin typeface="Arial"/>
              <a:cs typeface="Arial"/>
            </a:rPr>
            <a:t>  Summarizes key input assumptions, sources and calculation methodology.</a:t>
          </a:r>
        </a:p>
        <a:p>
          <a:pPr algn="l" rtl="0">
            <a:defRPr sz="1000"/>
          </a:pPr>
          <a:endParaRPr lang="en-US" sz="12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8</xdr:col>
      <xdr:colOff>590550</xdr:colOff>
      <xdr:row>7</xdr:row>
      <xdr:rowOff>47625</xdr:rowOff>
    </xdr:from>
    <xdr:to>
      <xdr:col>17</xdr:col>
      <xdr:colOff>85725</xdr:colOff>
      <xdr:row>29</xdr:row>
      <xdr:rowOff>142875</xdr:rowOff>
    </xdr:to>
    <xdr:sp macro="" textlink="">
      <xdr:nvSpPr>
        <xdr:cNvPr id="13315" name="AutoShape 3"/>
        <xdr:cNvSpPr>
          <a:spLocks noChangeArrowheads="1"/>
        </xdr:cNvSpPr>
      </xdr:nvSpPr>
      <xdr:spPr bwMode="auto">
        <a:xfrm>
          <a:off x="11982450" y="1181100"/>
          <a:ext cx="4981575" cy="3657600"/>
        </a:xfrm>
        <a:prstGeom prst="flowChartDocumen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ResMaster</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Contains measure list,  links to all supporting files and sheets for other administrative functions.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Contains key characteristics common among measures used to calculate savings estimates.  Includes measure applicability (APPLIC), baseline penetration (BASE), applicable vintage cohort (STOCK), achievability rates (ACHIEV), fuel saturations, equipment saturations and other key characteristics (CHAR) used in the analysis by building occupancy type and application (New, Retro or Natural Replacement (NR)) . Also includes common variables, labels (VAR &amp; Labels) and other administrative functions.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8</xdr:col>
      <xdr:colOff>571500</xdr:colOff>
      <xdr:row>32</xdr:row>
      <xdr:rowOff>28575</xdr:rowOff>
    </xdr:from>
    <xdr:to>
      <xdr:col>17</xdr:col>
      <xdr:colOff>19050</xdr:colOff>
      <xdr:row>42</xdr:row>
      <xdr:rowOff>9525</xdr:rowOff>
    </xdr:to>
    <xdr:sp macro="" textlink="">
      <xdr:nvSpPr>
        <xdr:cNvPr id="13316" name="AutoShape 4"/>
        <xdr:cNvSpPr>
          <a:spLocks noChangeArrowheads="1"/>
        </xdr:cNvSpPr>
      </xdr:nvSpPr>
      <xdr:spPr bwMode="auto">
        <a:xfrm>
          <a:off x="11963400" y="5210175"/>
          <a:ext cx="4933950" cy="1600200"/>
        </a:xfrm>
        <a:prstGeom prst="flowChartDocumen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ResFloorAreaForecast.xls (or similar name)</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Output from regional forecast model.  Supply curve estimates are driven primarily by floor space estimates, equipment count or population. File contains stock estimates relevant to the measures by building occupancy type, state and vintage.   </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7</xdr:col>
      <xdr:colOff>247650</xdr:colOff>
      <xdr:row>11</xdr:row>
      <xdr:rowOff>76200</xdr:rowOff>
    </xdr:from>
    <xdr:to>
      <xdr:col>7</xdr:col>
      <xdr:colOff>571500</xdr:colOff>
      <xdr:row>12</xdr:row>
      <xdr:rowOff>0</xdr:rowOff>
    </xdr:to>
    <xdr:sp macro="" textlink="">
      <xdr:nvSpPr>
        <xdr:cNvPr id="13328" name="AutoShape 5"/>
        <xdr:cNvSpPr>
          <a:spLocks noChangeArrowheads="1"/>
        </xdr:cNvSpPr>
      </xdr:nvSpPr>
      <xdr:spPr bwMode="auto">
        <a:xfrm>
          <a:off x="11029950" y="1857375"/>
          <a:ext cx="323850" cy="85725"/>
        </a:xfrm>
        <a:prstGeom prst="leftRightArrow">
          <a:avLst>
            <a:gd name="adj1" fmla="val 50000"/>
            <a:gd name="adj2" fmla="val 75556"/>
          </a:avLst>
        </a:prstGeom>
        <a:solidFill>
          <a:srgbClr val="FFFFFF"/>
        </a:solidFill>
        <a:ln w="9525">
          <a:solidFill>
            <a:srgbClr val="000000"/>
          </a:solidFill>
          <a:miter lim="800000"/>
          <a:headEnd/>
          <a:tailEnd/>
        </a:ln>
      </xdr:spPr>
    </xdr:sp>
    <xdr:clientData/>
  </xdr:twoCellAnchor>
  <xdr:twoCellAnchor>
    <xdr:from>
      <xdr:col>7</xdr:col>
      <xdr:colOff>190500</xdr:colOff>
      <xdr:row>34</xdr:row>
      <xdr:rowOff>19050</xdr:rowOff>
    </xdr:from>
    <xdr:to>
      <xdr:col>7</xdr:col>
      <xdr:colOff>523875</xdr:colOff>
      <xdr:row>34</xdr:row>
      <xdr:rowOff>95250</xdr:rowOff>
    </xdr:to>
    <xdr:sp macro="" textlink="">
      <xdr:nvSpPr>
        <xdr:cNvPr id="13329" name="AutoShape 6"/>
        <xdr:cNvSpPr>
          <a:spLocks noChangeArrowheads="1"/>
        </xdr:cNvSpPr>
      </xdr:nvSpPr>
      <xdr:spPr bwMode="auto">
        <a:xfrm>
          <a:off x="10972800" y="5524500"/>
          <a:ext cx="333375" cy="76200"/>
        </a:xfrm>
        <a:prstGeom prst="leftRightArrow">
          <a:avLst>
            <a:gd name="adj1" fmla="val 50000"/>
            <a:gd name="adj2" fmla="val 87500"/>
          </a:avLst>
        </a:prstGeom>
        <a:solidFill>
          <a:srgbClr val="FFFFFF"/>
        </a:solidFill>
        <a:ln w="9525">
          <a:solidFill>
            <a:srgbClr val="000000"/>
          </a:solidFill>
          <a:miter lim="800000"/>
          <a:headEnd/>
          <a:tailEnd/>
        </a:ln>
      </xdr:spPr>
    </xdr:sp>
    <xdr:clientData/>
  </xdr:twoCellAnchor>
  <xdr:twoCellAnchor>
    <xdr:from>
      <xdr:col>8</xdr:col>
      <xdr:colOff>542925</xdr:colOff>
      <xdr:row>43</xdr:row>
      <xdr:rowOff>142875</xdr:rowOff>
    </xdr:from>
    <xdr:to>
      <xdr:col>16</xdr:col>
      <xdr:colOff>390525</xdr:colOff>
      <xdr:row>49</xdr:row>
      <xdr:rowOff>95250</xdr:rowOff>
    </xdr:to>
    <xdr:sp macro="" textlink="">
      <xdr:nvSpPr>
        <xdr:cNvPr id="13319" name="AutoShape 7"/>
        <xdr:cNvSpPr>
          <a:spLocks noChangeArrowheads="1"/>
        </xdr:cNvSpPr>
      </xdr:nvSpPr>
      <xdr:spPr bwMode="auto">
        <a:xfrm>
          <a:off x="11934825" y="7105650"/>
          <a:ext cx="4724400" cy="923925"/>
        </a:xfrm>
        <a:prstGeom prst="flowChartDocumen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MC_AND_ LOADSHAPE</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Contains avoided cost and shape of savings data. Called by ProCost.</a:t>
          </a:r>
        </a:p>
      </xdr:txBody>
    </xdr:sp>
    <xdr:clientData/>
  </xdr:twoCellAnchor>
  <xdr:twoCellAnchor>
    <xdr:from>
      <xdr:col>7</xdr:col>
      <xdr:colOff>209550</xdr:colOff>
      <xdr:row>48</xdr:row>
      <xdr:rowOff>19050</xdr:rowOff>
    </xdr:from>
    <xdr:to>
      <xdr:col>7</xdr:col>
      <xdr:colOff>542925</xdr:colOff>
      <xdr:row>48</xdr:row>
      <xdr:rowOff>85725</xdr:rowOff>
    </xdr:to>
    <xdr:sp macro="" textlink="">
      <xdr:nvSpPr>
        <xdr:cNvPr id="13331" name="AutoShape 8"/>
        <xdr:cNvSpPr>
          <a:spLocks noChangeArrowheads="1"/>
        </xdr:cNvSpPr>
      </xdr:nvSpPr>
      <xdr:spPr bwMode="auto">
        <a:xfrm>
          <a:off x="10991850" y="7791450"/>
          <a:ext cx="333375" cy="66675"/>
        </a:xfrm>
        <a:prstGeom prst="leftRightArrow">
          <a:avLst>
            <a:gd name="adj1" fmla="val 50000"/>
            <a:gd name="adj2" fmla="val 100000"/>
          </a:avLst>
        </a:prstGeom>
        <a:solidFill>
          <a:srgbClr val="FFFFFF"/>
        </a:solidFill>
        <a:ln w="9525">
          <a:solidFill>
            <a:srgbClr val="000000"/>
          </a:solidFill>
          <a:miter lim="800000"/>
          <a:headEnd/>
          <a:tailEnd/>
        </a:ln>
      </xdr:spPr>
    </xdr:sp>
    <xdr:clientData/>
  </xdr:twoCellAnchor>
  <xdr:twoCellAnchor>
    <xdr:from>
      <xdr:col>7</xdr:col>
      <xdr:colOff>190500</xdr:colOff>
      <xdr:row>68</xdr:row>
      <xdr:rowOff>95250</xdr:rowOff>
    </xdr:from>
    <xdr:to>
      <xdr:col>7</xdr:col>
      <xdr:colOff>523875</xdr:colOff>
      <xdr:row>68</xdr:row>
      <xdr:rowOff>152400</xdr:rowOff>
    </xdr:to>
    <xdr:sp macro="" textlink="">
      <xdr:nvSpPr>
        <xdr:cNvPr id="13332" name="AutoShape 10"/>
        <xdr:cNvSpPr>
          <a:spLocks noChangeArrowheads="1"/>
        </xdr:cNvSpPr>
      </xdr:nvSpPr>
      <xdr:spPr bwMode="auto">
        <a:xfrm>
          <a:off x="10972800" y="11106150"/>
          <a:ext cx="333375" cy="57150"/>
        </a:xfrm>
        <a:prstGeom prst="leftRightArrow">
          <a:avLst>
            <a:gd name="adj1" fmla="val 50000"/>
            <a:gd name="adj2" fmla="val 116667"/>
          </a:avLst>
        </a:prstGeom>
        <a:solidFill>
          <a:srgbClr val="FFFFFF"/>
        </a:solidFill>
        <a:ln w="9525">
          <a:solidFill>
            <a:srgbClr val="000000"/>
          </a:solidFill>
          <a:miter lim="800000"/>
          <a:headEnd/>
          <a:tailEnd/>
        </a:ln>
      </xdr:spPr>
    </xdr:sp>
    <xdr:clientData/>
  </xdr:twoCellAnchor>
  <xdr:twoCellAnchor>
    <xdr:from>
      <xdr:col>8</xdr:col>
      <xdr:colOff>485775</xdr:colOff>
      <xdr:row>53</xdr:row>
      <xdr:rowOff>104775</xdr:rowOff>
    </xdr:from>
    <xdr:to>
      <xdr:col>16</xdr:col>
      <xdr:colOff>219075</xdr:colOff>
      <xdr:row>70</xdr:row>
      <xdr:rowOff>57150</xdr:rowOff>
    </xdr:to>
    <xdr:sp macro="" textlink="">
      <xdr:nvSpPr>
        <xdr:cNvPr id="13323" name="AutoShape 11"/>
        <xdr:cNvSpPr>
          <a:spLocks noChangeArrowheads="1"/>
        </xdr:cNvSpPr>
      </xdr:nvSpPr>
      <xdr:spPr bwMode="auto">
        <a:xfrm>
          <a:off x="11877675" y="8686800"/>
          <a:ext cx="4610100" cy="2705100"/>
        </a:xfrm>
        <a:prstGeom prst="flowChartDocumen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SUPPLYCURVEBUNDLER</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Bundles all measures into supply curves by cost bin and year for input to portfolio model.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142875</xdr:colOff>
      <xdr:row>18</xdr:row>
      <xdr:rowOff>19050</xdr:rowOff>
    </xdr:from>
    <xdr:to>
      <xdr:col>39</xdr:col>
      <xdr:colOff>409575</xdr:colOff>
      <xdr:row>45</xdr:row>
      <xdr:rowOff>47625</xdr:rowOff>
    </xdr:to>
    <xdr:graphicFrame macro="">
      <xdr:nvGraphicFramePr>
        <xdr:cNvPr id="90161"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563799</xdr:colOff>
      <xdr:row>8</xdr:row>
      <xdr:rowOff>142673</xdr:rowOff>
    </xdr:from>
    <xdr:to>
      <xdr:col>20</xdr:col>
      <xdr:colOff>230221</xdr:colOff>
      <xdr:row>29</xdr:row>
      <xdr:rowOff>161722</xdr:rowOff>
    </xdr:to>
    <xdr:sp macro="" textlink="">
      <xdr:nvSpPr>
        <xdr:cNvPr id="14350" name="WordArt 14"/>
        <xdr:cNvSpPr>
          <a:spLocks noChangeArrowheads="1" noChangeShapeType="1" noTextEdit="1"/>
        </xdr:cNvSpPr>
      </xdr:nvSpPr>
      <xdr:spPr bwMode="auto">
        <a:xfrm>
          <a:off x="8295262" y="1439694"/>
          <a:ext cx="6354188" cy="3423730"/>
        </a:xfrm>
        <a:prstGeom prst="rect">
          <a:avLst/>
        </a:prstGeom>
      </xdr:spPr>
      <xdr:txBody>
        <a:bodyPr wrap="none" fromWordArt="1">
          <a:prstTxWarp prst="textSlantUp">
            <a:avLst>
              <a:gd name="adj" fmla="val 55556"/>
            </a:avLst>
          </a:prstTxWarp>
        </a:bodyPr>
        <a:lstStyle/>
        <a:p>
          <a:pPr algn="ctr" rtl="0"/>
          <a:r>
            <a:rPr lang="en-US" sz="5400" kern="10" spc="0">
              <a:ln w="9525">
                <a:solidFill>
                  <a:srgbClr val="000000"/>
                </a:solidFill>
                <a:round/>
                <a:headEnd/>
                <a:tailEnd/>
              </a:ln>
              <a:solidFill>
                <a:srgbClr val="FF6600">
                  <a:alpha val="42000"/>
                </a:srgbClr>
              </a:solidFill>
              <a:effectLst/>
              <a:latin typeface="Arial Black"/>
            </a:rPr>
            <a:t>DO NOT Use These Data </a:t>
          </a:r>
        </a:p>
        <a:p>
          <a:pPr algn="ctr" rtl="0"/>
          <a:r>
            <a:rPr lang="en-US" sz="5400" kern="10" spc="0">
              <a:ln w="9525">
                <a:solidFill>
                  <a:srgbClr val="000000"/>
                </a:solidFill>
                <a:round/>
                <a:headEnd/>
                <a:tailEnd/>
              </a:ln>
              <a:solidFill>
                <a:srgbClr val="FF6600">
                  <a:alpha val="42000"/>
                </a:srgbClr>
              </a:solidFill>
              <a:effectLst/>
              <a:latin typeface="Arial Black"/>
            </a:rPr>
            <a:t>as Represntative EUIs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G/Main/Plan%205/FinalPlan/PC-ReRoof-D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es-ClothesDryer-7P_v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Res-RefrigFreezer-7P_v3.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Res-SWH-7P_v1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es-Oven-7P_v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Res-Microwave-7P_v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Res-Computers-7P_v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es-SF_HP-7P_v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es-Duct_Seal-7P_v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Res-WiFitstat-7P_v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Res-Aerator-7P_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Lighting-7P_v3.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Res-COP-7P_v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Res-HRV-7P_v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Res-GSHP-7P_v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Res-FAF_to_DHP-7P_v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Res-PowerStrips-7P_v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Res-CCS-7P_v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Res-SF_Wx-7P_v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Res-MF_Wx-7P_v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Res-MH_Wx-7P_v3.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RBSA%20Satura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Lighting_PPA-7P_v4.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SeventhPlan/Conservation%20Analysis/Reference%20Material/NEEA%20Energy%20Star%20Homes%20Data/NEEA_RNC_Cool_SpHt_DHW_wCit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Dishwasher-7P_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s-ClothesWasher-7P_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es-GFX-7P_v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es-Showerhead-7P_v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s-HPWH-7P_v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es-EVCharger-7P_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ProData"/>
      <sheetName val="MDataElec"/>
      <sheetName val="MMap"/>
      <sheetName val="MDataGas"/>
      <sheetName val="R11 to R22 ElecHt"/>
      <sheetName val="R0 to R22 ElecHt"/>
      <sheetName val="R11 to R22 HtPump"/>
      <sheetName val="R0 to R22 HtPump"/>
      <sheetName val="Notes and Sources"/>
      <sheetName val="To Do"/>
      <sheetName val="Nov2003"/>
      <sheetName val="9March04A"/>
      <sheetName val="9Apr20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MFCommonUnits"/>
      <sheetName val="M_Input_Out"/>
      <sheetName val="M_Input"/>
      <sheetName val="RawInputs"/>
      <sheetName val="Eff. Standards &amp; Certifications"/>
      <sheetName val="Assumptions"/>
      <sheetName val="SavingsData&amp;Analysis"/>
      <sheetName val="CostData&amp;Analysis"/>
      <sheetName val="DOE Res Data"/>
    </sheetNames>
    <sheetDataSet>
      <sheetData sheetId="0"/>
      <sheetData sheetId="1"/>
      <sheetData sheetId="2">
        <row r="10">
          <cell r="C10">
            <v>8.3159943119446353</v>
          </cell>
        </row>
      </sheetData>
      <sheetData sheetId="3">
        <row r="10">
          <cell r="C10">
            <v>45.158059574110055</v>
          </cell>
        </row>
      </sheetData>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ew (2)"/>
      <sheetName val="SC-NR"/>
      <sheetName val="SC-NR (2)"/>
      <sheetName val="M_Input_Out"/>
      <sheetName val="M_Input"/>
      <sheetName val="Composite"/>
      <sheetName val="RawRTF"/>
      <sheetName val="Measure Development"/>
      <sheetName val="Cost Summary"/>
      <sheetName val="Cost - Standard FridgeFreezer"/>
      <sheetName val="Cost - Standard Freezer"/>
      <sheetName val="Cost - Compact FridgeFreezer"/>
      <sheetName val="Cost - Compact Freezer"/>
      <sheetName val="CEC analysis"/>
      <sheetName val="CEC DB for analysis"/>
      <sheetName val="ENERGY STAR - Res Refrigerators"/>
      <sheetName val="Federal Standards"/>
      <sheetName val="Lifetime"/>
      <sheetName val="HVAC Interaction"/>
    </sheetNames>
    <sheetDataSet>
      <sheetData sheetId="0"/>
      <sheetData sheetId="1"/>
      <sheetData sheetId="2">
        <row r="10">
          <cell r="C10">
            <v>8.2515067051228623</v>
          </cell>
        </row>
      </sheetData>
      <sheetData sheetId="3">
        <row r="10">
          <cell r="C10">
            <v>0.59452225929043712</v>
          </cell>
        </row>
      </sheetData>
      <sheetData sheetId="4">
        <row r="10">
          <cell r="C10">
            <v>46.92250786263611</v>
          </cell>
        </row>
      </sheetData>
      <sheetData sheetId="5">
        <row r="10">
          <cell r="C10">
            <v>2.4138633180707227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7PSourceSummary"/>
      <sheetName val="forRPM"/>
      <sheetName val="SC-New"/>
      <sheetName val="SC-Retro"/>
      <sheetName val="M_Input_Out"/>
      <sheetName val="M_Input"/>
      <sheetName val="Raw"/>
      <sheetName val="Costs"/>
      <sheetName val="PNW Solar Zones"/>
      <sheetName val="SavingsFrac"/>
    </sheetNames>
    <sheetDataSet>
      <sheetData sheetId="0"/>
      <sheetData sheetId="1"/>
      <sheetData sheetId="2">
        <row r="10">
          <cell r="C10">
            <v>0</v>
          </cell>
        </row>
      </sheetData>
      <sheetData sheetId="3">
        <row r="10">
          <cell r="C10">
            <v>55.924909203546143</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M_Input_Out"/>
      <sheetName val="M_Input"/>
      <sheetName val="CostSavings Info"/>
    </sheetNames>
    <sheetDataSet>
      <sheetData sheetId="0"/>
      <sheetData sheetId="1"/>
      <sheetData sheetId="2">
        <row r="10">
          <cell r="C10">
            <v>6.0104408472787334</v>
          </cell>
        </row>
      </sheetData>
      <sheetData sheetId="3">
        <row r="10">
          <cell r="C10">
            <v>22.022746770362147</v>
          </cell>
        </row>
      </sheetData>
      <sheetData sheetId="4"/>
      <sheetData sheetId="5"/>
      <sheetData sheetId="6"/>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 of Units"/>
      <sheetName val="M_Input_Out"/>
      <sheetName val="M_Input"/>
      <sheetName val="CostSavings Info"/>
    </sheetNames>
    <sheetDataSet>
      <sheetData sheetId="0"/>
      <sheetData sheetId="1"/>
      <sheetData sheetId="2">
        <row r="10">
          <cell r="C10">
            <v>1.0250425136330519</v>
          </cell>
        </row>
      </sheetData>
      <sheetData sheetId="3">
        <row r="10">
          <cell r="C10">
            <v>5.4052958237524305</v>
          </cell>
        </row>
      </sheetData>
      <sheetData sheetId="4"/>
      <sheetData sheetId="5"/>
      <sheetData sheetId="6"/>
      <sheetData sheetId="7"/>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ew (2)"/>
      <sheetName val="SC-NR"/>
      <sheetName val="SC-NR (2)"/>
      <sheetName val="Units per home"/>
      <sheetName val="M_Input_Out"/>
      <sheetName val="M_Input"/>
      <sheetName val="Composite"/>
      <sheetName val="Raw"/>
      <sheetName val="Summary"/>
      <sheetName val="Shipment"/>
      <sheetName val="ES Calc Desktops"/>
      <sheetName val="ES Calc Laptop"/>
      <sheetName val="ES Calc Monitors"/>
      <sheetName val="Inc Cost"/>
    </sheetNames>
    <sheetDataSet>
      <sheetData sheetId="0"/>
      <sheetData sheetId="1"/>
      <sheetData sheetId="2">
        <row r="10">
          <cell r="C10">
            <v>1.4425538563470255</v>
          </cell>
        </row>
      </sheetData>
      <sheetData sheetId="3">
        <row r="10">
          <cell r="C10">
            <v>5.8580236209685363</v>
          </cell>
        </row>
      </sheetData>
      <sheetData sheetId="4">
        <row r="10">
          <cell r="C10">
            <v>6.0780585034919685</v>
          </cell>
        </row>
      </sheetData>
      <sheetData sheetId="5">
        <row r="10">
          <cell r="C10">
            <v>27.548133739474505</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ew (2)"/>
      <sheetName val="SC-New (3)"/>
      <sheetName val="SC-NR"/>
      <sheetName val="SC-NR (2)"/>
      <sheetName val="SC-NR (3)"/>
      <sheetName val="HVAC weighting"/>
      <sheetName val="accomplishments"/>
      <sheetName val="M_Input_Out"/>
      <sheetName val="M_Input"/>
      <sheetName val="Segmented"/>
      <sheetName val="weighting"/>
      <sheetName val="Composite"/>
      <sheetName val="Raw"/>
      <sheetName val="Savings Analysis"/>
      <sheetName val="Cost Analysis"/>
      <sheetName val="SEEMsavings"/>
      <sheetName val="DHP Raw CostData&amp;Analysis"/>
    </sheetNames>
    <sheetDataSet>
      <sheetData sheetId="0"/>
      <sheetData sheetId="1"/>
      <sheetData sheetId="2"/>
      <sheetData sheetId="3">
        <row r="10">
          <cell r="C10">
            <v>5.0124003942674147</v>
          </cell>
        </row>
      </sheetData>
      <sheetData sheetId="4">
        <row r="10">
          <cell r="C10">
            <v>7.7709811046916908</v>
          </cell>
        </row>
      </sheetData>
      <sheetData sheetId="5">
        <row r="10">
          <cell r="C10">
            <v>52.312651245100461</v>
          </cell>
        </row>
      </sheetData>
      <sheetData sheetId="6">
        <row r="10">
          <cell r="C10">
            <v>47.703733151974113</v>
          </cell>
        </row>
      </sheetData>
      <sheetData sheetId="7">
        <row r="10">
          <cell r="C10">
            <v>135.65072609703043</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7PSourceSummary"/>
      <sheetName val="forRPM"/>
      <sheetName val="SC-New"/>
      <sheetName val="SC-Retro"/>
      <sheetName val="HVAC weighting"/>
      <sheetName val="accomplishments"/>
      <sheetName val="M_Input_Out"/>
      <sheetName val="M_Input"/>
      <sheetName val="Segmented"/>
      <sheetName val="weighting"/>
      <sheetName val="Composite"/>
      <sheetName val="Raw"/>
      <sheetName val="SavingsData&amp;Analysis"/>
      <sheetName val="CostData&amp;Analysis"/>
      <sheetName val="SFducttesting_dbase"/>
      <sheetName val="SFweight"/>
      <sheetName val="SFHVAC heating"/>
      <sheetName val="MHducttesting"/>
      <sheetName val="MHMaster_populations"/>
      <sheetName val="MH_HVACheating"/>
    </sheetNames>
    <sheetDataSet>
      <sheetData sheetId="0"/>
      <sheetData sheetId="1"/>
      <sheetData sheetId="2">
        <row r="10">
          <cell r="C10">
            <v>2.9470575859187988</v>
          </cell>
        </row>
      </sheetData>
      <sheetData sheetId="3">
        <row r="10">
          <cell r="C10">
            <v>31.300222388087601</v>
          </cell>
        </row>
      </sheetData>
      <sheetData sheetId="4"/>
      <sheetData sheetId="5"/>
      <sheetData sheetId="6"/>
      <sheetData sheetId="7"/>
      <sheetData sheetId="8"/>
      <sheetData sheetId="9"/>
      <sheetData sheetId="10"/>
      <sheetData sheetId="11"/>
      <sheetData sheetId="12"/>
      <sheetData sheetId="13"/>
      <sheetData sheetId="14">
        <row r="262">
          <cell r="AN262">
            <v>0.4519771928174614</v>
          </cell>
        </row>
      </sheetData>
      <sheetData sheetId="15"/>
      <sheetData sheetId="16"/>
      <sheetData sheetId="17">
        <row r="150">
          <cell r="AN150">
            <v>0.56056700768085099</v>
          </cell>
        </row>
      </sheetData>
      <sheetData sheetId="18"/>
      <sheetData sheetId="19"/>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7PSourceSummary"/>
      <sheetName val="forRPM"/>
      <sheetName val="SC-New"/>
      <sheetName val="SC-Retro"/>
      <sheetName val="M_Input_Out"/>
      <sheetName val="M_Input"/>
      <sheetName val="Raw"/>
      <sheetName val="Supporting"/>
    </sheetNames>
    <sheetDataSet>
      <sheetData sheetId="0"/>
      <sheetData sheetId="1"/>
      <sheetData sheetId="2">
        <row r="10">
          <cell r="C10">
            <v>0.86086036141221034</v>
          </cell>
        </row>
      </sheetData>
      <sheetData sheetId="3">
        <row r="10">
          <cell r="C10">
            <v>10.69442920538267</v>
          </cell>
        </row>
      </sheetData>
      <sheetData sheetId="4"/>
      <sheetData sheetId="5"/>
      <sheetData sheetId="6"/>
      <sheetData sheetId="7"/>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7PSourceSummary"/>
      <sheetName val="forRPM"/>
      <sheetName val="SC-New"/>
      <sheetName val="SC-Retro"/>
      <sheetName val="Accomplishments"/>
      <sheetName val="Units Per Home"/>
      <sheetName val="M_Input_Out"/>
      <sheetName val="M_Input"/>
      <sheetName val="Raw"/>
      <sheetName val="Cost&amp;Savings"/>
      <sheetName val="ETO Blessing"/>
      <sheetName val="MI"/>
    </sheetNames>
    <sheetDataSet>
      <sheetData sheetId="0"/>
      <sheetData sheetId="1"/>
      <sheetData sheetId="2">
        <row r="10">
          <cell r="C10">
            <v>3.5437049824306519</v>
          </cell>
        </row>
      </sheetData>
      <sheetData sheetId="3">
        <row r="10">
          <cell r="C10">
            <v>28.939883904303688</v>
          </cell>
        </row>
      </sheetData>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ew (2)"/>
      <sheetName val="SC-NR"/>
      <sheetName val="SC-NR (2)"/>
      <sheetName val="Accomplishments"/>
      <sheetName val="Bulb Weighting"/>
      <sheetName val="M_Input_Out"/>
      <sheetName val="M_Input"/>
      <sheetName val="Composite"/>
      <sheetName val="Trend"/>
      <sheetName val="RawRTF"/>
      <sheetName val="Measure Assembly"/>
      <sheetName val="Summary Tables"/>
      <sheetName val="CFL and LED Efficacy"/>
      <sheetName val="CFL and LED Cost"/>
      <sheetName val="Lifetime"/>
      <sheetName val="Space Conditioning Interaction"/>
      <sheetName val="StorageTakebackRemoval"/>
      <sheetName val="Stock"/>
    </sheetNames>
    <sheetDataSet>
      <sheetData sheetId="0"/>
      <sheetData sheetId="1"/>
      <sheetData sheetId="2">
        <row r="10">
          <cell r="C10">
            <v>1.354329375982686</v>
          </cell>
        </row>
      </sheetData>
      <sheetData sheetId="3">
        <row r="10">
          <cell r="C10">
            <v>80.597154902305064</v>
          </cell>
        </row>
      </sheetData>
      <sheetData sheetId="4">
        <row r="10">
          <cell r="C10">
            <v>9.508634918805372</v>
          </cell>
        </row>
      </sheetData>
      <sheetData sheetId="5">
        <row r="10">
          <cell r="C10">
            <v>370.46819560473205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7PSourceSummary"/>
      <sheetName val="forRPM"/>
      <sheetName val="SC-New"/>
      <sheetName val="SC-Retro"/>
      <sheetName val="accomplishments"/>
      <sheetName val="M_Input_Out"/>
      <sheetName val="M_Input"/>
      <sheetName val="Cost"/>
      <sheetName val="SavingsSummary"/>
      <sheetName val="Lighting"/>
      <sheetName val="HVAC"/>
      <sheetName val="HPWH"/>
    </sheetNames>
    <sheetDataSet>
      <sheetData sheetId="0"/>
      <sheetData sheetId="1"/>
      <sheetData sheetId="2">
        <row r="10">
          <cell r="C10">
            <v>5.9878569781439097</v>
          </cell>
        </row>
      </sheetData>
      <sheetData sheetId="3">
        <row r="10">
          <cell r="C10">
            <v>39.473335897851918</v>
          </cell>
        </row>
      </sheetData>
      <sheetData sheetId="4"/>
      <sheetData sheetId="5"/>
      <sheetData sheetId="6"/>
      <sheetData sheetId="7"/>
      <sheetData sheetId="8"/>
      <sheetData sheetId="9"/>
      <sheetData sheetId="10"/>
      <sheetData sheetId="1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7PSourceSummary"/>
      <sheetName val="forRPM"/>
      <sheetName val="SC-New"/>
      <sheetName val="Weighting"/>
      <sheetName val="M_Input_Out"/>
      <sheetName val="M_Input"/>
      <sheetName val="Cost"/>
      <sheetName val="Savings"/>
      <sheetName val="Notes"/>
    </sheetNames>
    <sheetDataSet>
      <sheetData sheetId="0"/>
      <sheetData sheetId="1"/>
      <sheetData sheetId="2">
        <row r="10">
          <cell r="C10">
            <v>16.266657422692457</v>
          </cell>
        </row>
      </sheetData>
      <sheetData sheetId="3"/>
      <sheetData sheetId="4"/>
      <sheetData sheetId="5"/>
      <sheetData sheetId="6"/>
      <sheetData sheetId="7"/>
      <sheetData sheetId="8"/>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M_Input_Out"/>
      <sheetName val="M_Input"/>
      <sheetName val="Segmented"/>
      <sheetName val="Weighting"/>
      <sheetName val="Compiled"/>
      <sheetName val="Raw"/>
      <sheetName val="WeightedSavings"/>
      <sheetName val="SavingsCalcs"/>
      <sheetName val="analysis"/>
      <sheetName val="AdjustedOutput"/>
      <sheetName val="SEEMoutput"/>
      <sheetName val="GSHPCostSources"/>
      <sheetName val="HP sizes&amp;costs"/>
      <sheetName val="Calibration"/>
      <sheetName val="(Tons) (Furnsize)"/>
    </sheetNames>
    <sheetDataSet>
      <sheetData sheetId="0"/>
      <sheetData sheetId="1"/>
      <sheetData sheetId="2">
        <row r="10">
          <cell r="C10">
            <v>1.3692889060755165</v>
          </cell>
        </row>
      </sheetData>
      <sheetData sheetId="3">
        <row r="10">
          <cell r="C10">
            <v>17.498742982836337</v>
          </cell>
        </row>
      </sheetData>
      <sheetData sheetId="4"/>
      <sheetData sheetId="5"/>
      <sheetData sheetId="6"/>
      <sheetData sheetId="7">
        <row r="9">
          <cell r="C9">
            <v>0.12485156673907999</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7PSourceSummary"/>
      <sheetName val="forRPM"/>
      <sheetName val="SC-NR"/>
      <sheetName val="HVAC weighting"/>
      <sheetName val="accomplishments"/>
      <sheetName val="M_Input_Out"/>
      <sheetName val="M_Input"/>
      <sheetName val="Segmented"/>
      <sheetName val="weighting"/>
      <sheetName val="Composite"/>
      <sheetName val="Raw"/>
    </sheetNames>
    <sheetDataSet>
      <sheetData sheetId="0"/>
      <sheetData sheetId="1"/>
      <sheetData sheetId="2">
        <row r="10">
          <cell r="C10">
            <v>157.80253886795043</v>
          </cell>
        </row>
      </sheetData>
      <sheetData sheetId="3"/>
      <sheetData sheetId="4"/>
      <sheetData sheetId="5"/>
      <sheetData sheetId="6"/>
      <sheetData sheetId="7"/>
      <sheetData sheetId="8"/>
      <sheetData sheetId="9"/>
      <sheetData sheetId="10"/>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7PSourceSummary"/>
      <sheetName val="forRPM"/>
      <sheetName val="SC-New"/>
      <sheetName val="SC-Retro"/>
      <sheetName val="Units per home"/>
      <sheetName val="Accomplishments"/>
      <sheetName val="M_Input_Out"/>
      <sheetName val="M_Input"/>
      <sheetName val="Composite"/>
      <sheetName val="RawRTF"/>
      <sheetName val="SavingsData&amp;Analysis Tier 1"/>
      <sheetName val="SavingsData&amp;Analysis Tier 2"/>
      <sheetName val="Usage Data"/>
      <sheetName val="CostData&amp;Analysis"/>
    </sheetNames>
    <sheetDataSet>
      <sheetData sheetId="0"/>
      <sheetData sheetId="1"/>
      <sheetData sheetId="2">
        <row r="10">
          <cell r="C10">
            <v>31.684161765893183</v>
          </cell>
        </row>
      </sheetData>
      <sheetData sheetId="3">
        <row r="10">
          <cell r="C10">
            <v>231.16675565415144</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HVAC weighting"/>
      <sheetName val="accomplishments"/>
      <sheetName val="M_Input_Out"/>
      <sheetName val="M_Input"/>
      <sheetName val="Segmented"/>
      <sheetName val="weighting"/>
      <sheetName val="Composite"/>
      <sheetName val="Raw"/>
      <sheetName val="SavingsData&amp;Analysis"/>
      <sheetName val="CostData&amp;Analysis"/>
    </sheetNames>
    <sheetDataSet>
      <sheetData sheetId="0"/>
      <sheetData sheetId="1"/>
      <sheetData sheetId="2">
        <row r="10">
          <cell r="C10">
            <v>6.6616221163727083</v>
          </cell>
        </row>
      </sheetData>
      <sheetData sheetId="3">
        <row r="10">
          <cell r="C10">
            <v>43.173744913235367</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7PSourceSummary"/>
      <sheetName val="forRPM"/>
      <sheetName val="SC-Retro"/>
      <sheetName val="accomplishments"/>
      <sheetName val="M_Input_Out"/>
      <sheetName val="M_Input"/>
      <sheetName val="Segmented"/>
      <sheetName val="Weighting"/>
      <sheetName val="Composite"/>
      <sheetName val="Raw RTF"/>
      <sheetName val="CharacteristicScenariosRH"/>
      <sheetName val="Attic"/>
      <sheetName val="Window"/>
      <sheetName val="FlCrawl"/>
      <sheetName val="SFblowerdoor"/>
      <sheetName val="RBSA Weights"/>
      <sheetName val="Achievements"/>
      <sheetName val="savings analysis"/>
      <sheetName val="cost analysis"/>
      <sheetName val="To Do 7P"/>
    </sheetNames>
    <sheetDataSet>
      <sheetData sheetId="0" refreshError="1"/>
      <sheetData sheetId="1" refreshError="1"/>
      <sheetData sheetId="2">
        <row r="10">
          <cell r="C10">
            <v>126.67317650716652</v>
          </cell>
        </row>
      </sheetData>
      <sheetData sheetId="3" refreshError="1"/>
      <sheetData sheetId="4" refreshError="1"/>
      <sheetData sheetId="5" refreshError="1"/>
      <sheetData sheetId="6" refreshError="1"/>
      <sheetData sheetId="7" refreshError="1"/>
      <sheetData sheetId="8" refreshError="1"/>
      <sheetData sheetId="9" refreshError="1"/>
      <sheetData sheetId="10">
        <row r="238">
          <cell r="C238">
            <v>9.4176367448590523E-2</v>
          </cell>
        </row>
        <row r="239">
          <cell r="C239">
            <v>0.14254095967218691</v>
          </cell>
        </row>
        <row r="240">
          <cell r="C240">
            <v>0.17640935924007034</v>
          </cell>
        </row>
        <row r="244">
          <cell r="C244">
            <v>8.46755457988283E-2</v>
          </cell>
        </row>
        <row r="246">
          <cell r="C246">
            <v>0.22945970598641344</v>
          </cell>
        </row>
      </sheetData>
      <sheetData sheetId="11">
        <row r="13">
          <cell r="O13">
            <v>0.32014844015471466</v>
          </cell>
          <cell r="P13">
            <v>0.17058205505053403</v>
          </cell>
        </row>
        <row r="14">
          <cell r="O14">
            <v>0.17430969903565588</v>
          </cell>
          <cell r="P14">
            <v>0.13678890043469027</v>
          </cell>
        </row>
        <row r="15">
          <cell r="O15">
            <v>4.6501964215835925E-2</v>
          </cell>
          <cell r="P15">
            <v>0.1001242132993031</v>
          </cell>
        </row>
      </sheetData>
      <sheetData sheetId="12">
        <row r="25">
          <cell r="T25">
            <v>0.92800869032692423</v>
          </cell>
        </row>
        <row r="26">
          <cell r="T26">
            <v>4.4303251326892439E-2</v>
          </cell>
        </row>
      </sheetData>
      <sheetData sheetId="13">
        <row r="15">
          <cell r="AN15">
            <v>0.19851645323572223</v>
          </cell>
          <cell r="AO15">
            <v>0.45814664559388574</v>
          </cell>
          <cell r="AP15">
            <v>0.34333690117039206</v>
          </cell>
        </row>
      </sheetData>
      <sheetData sheetId="14">
        <row r="2">
          <cell r="U2">
            <v>0.6978388705872236</v>
          </cell>
        </row>
      </sheetData>
      <sheetData sheetId="15" refreshError="1"/>
      <sheetData sheetId="16" refreshError="1"/>
      <sheetData sheetId="17" refreshError="1"/>
      <sheetData sheetId="18" refreshError="1"/>
      <sheetData sheetId="19"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7PSourceSummary"/>
      <sheetName val="forRPM"/>
      <sheetName val="SC-Retro"/>
      <sheetName val="M_Input_Out"/>
      <sheetName val="M_Input"/>
      <sheetName val="Segmented"/>
      <sheetName val="Weighting"/>
      <sheetName val="Composite"/>
      <sheetName val="Raw RTF"/>
      <sheetName val="Attic"/>
      <sheetName val="Window"/>
      <sheetName val="FlCrawl"/>
      <sheetName val="MFMaster"/>
      <sheetName val="Achievements"/>
      <sheetName val="SEEMsavings"/>
      <sheetName val="Results"/>
      <sheetName val="MeasureInputsANDResults"/>
      <sheetName val="inputWeightings"/>
      <sheetName val="Costs"/>
      <sheetName val="SIW Costs"/>
      <sheetName val="ETO MF Insulation Cost"/>
    </sheetNames>
    <sheetDataSet>
      <sheetData sheetId="0"/>
      <sheetData sheetId="1"/>
      <sheetData sheetId="2">
        <row r="10">
          <cell r="C10">
            <v>119.2764142115731</v>
          </cell>
        </row>
      </sheetData>
      <sheetData sheetId="3"/>
      <sheetData sheetId="4"/>
      <sheetData sheetId="5"/>
      <sheetData sheetId="6"/>
      <sheetData sheetId="7"/>
      <sheetData sheetId="8"/>
      <sheetData sheetId="9">
        <row r="13">
          <cell r="O13">
            <v>5.4136342171710254E-2</v>
          </cell>
          <cell r="P13">
            <v>4.7584775838642859E-2</v>
          </cell>
          <cell r="Q13">
            <v>0.28384144507905706</v>
          </cell>
        </row>
        <row r="15">
          <cell r="O15">
            <v>0.22227051198635747</v>
          </cell>
          <cell r="P15">
            <v>3.4310978703902796E-2</v>
          </cell>
          <cell r="Q15">
            <v>0.50397933760908686</v>
          </cell>
        </row>
      </sheetData>
      <sheetData sheetId="10">
        <row r="25">
          <cell r="T25">
            <v>0.82870194350189819</v>
          </cell>
        </row>
        <row r="26">
          <cell r="T26">
            <v>0.15947949431146374</v>
          </cell>
        </row>
      </sheetData>
      <sheetData sheetId="11">
        <row r="14">
          <cell r="AJ14">
            <v>8.2838470698342936E-2</v>
          </cell>
          <cell r="AK14">
            <v>0.91716152930165706</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7PSourceSummary"/>
      <sheetName val="forRPM"/>
      <sheetName val="SC-Retro"/>
      <sheetName val="Applicability"/>
      <sheetName val="M_Input_Out"/>
      <sheetName val="M_Input"/>
      <sheetName val="Segmented"/>
      <sheetName val="Weighting"/>
      <sheetName val="Composite"/>
      <sheetName val="Raw RTF"/>
      <sheetName val="MHshell"/>
      <sheetName val="RBSA Weights"/>
      <sheetName val="Achievements"/>
      <sheetName val="SEEM Results"/>
      <sheetName val="SEEMsavings"/>
      <sheetName val="Costs"/>
      <sheetName val="ETO SF Insulation Cost Data"/>
      <sheetName val="ETO MF Window Cost"/>
    </sheetNames>
    <sheetDataSet>
      <sheetData sheetId="0"/>
      <sheetData sheetId="1"/>
      <sheetData sheetId="2">
        <row r="10">
          <cell r="C10">
            <v>5.2512912342887139</v>
          </cell>
        </row>
      </sheetData>
      <sheetData sheetId="3">
        <row r="5">
          <cell r="A5">
            <v>5.3709094872804723E-2</v>
          </cell>
          <cell r="B5">
            <v>1.7654231774693368E-2</v>
          </cell>
          <cell r="C5">
            <v>1.0533305070999604E-3</v>
          </cell>
          <cell r="D5">
            <v>1.0665247527328251E-2</v>
          </cell>
          <cell r="E5">
            <v>1.6234206236719669E-2</v>
          </cell>
          <cell r="F5">
            <v>8.6960001218737133E-4</v>
          </cell>
          <cell r="G5">
            <v>1.709672948278617E-2</v>
          </cell>
          <cell r="I5">
            <v>8.3666550181711416E-2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SF"/>
      <sheetName val="MF"/>
      <sheetName val="MH"/>
      <sheetName val="SF Estimates"/>
      <sheetName val="MH_Estimates"/>
      <sheetName val="MF_Estimates"/>
      <sheetName val="Estimates"/>
      <sheetName val="RBSA Saturations"/>
    </sheetNames>
    <sheetDataSet>
      <sheetData sheetId="0">
        <row r="12">
          <cell r="I12">
            <v>6.8910359437455118E-2</v>
          </cell>
          <cell r="J12">
            <v>5.5704832325126567E-2</v>
          </cell>
          <cell r="L12">
            <v>6.3764394229545662E-2</v>
          </cell>
        </row>
        <row r="13">
          <cell r="I13">
            <v>6.6557500117039647E-2</v>
          </cell>
          <cell r="L13">
            <v>4.8202841751037277E-2</v>
          </cell>
        </row>
        <row r="15">
          <cell r="L15">
            <v>5.9888429585079297E-2</v>
          </cell>
        </row>
        <row r="20">
          <cell r="I20">
            <v>1.5601272192892677E-2</v>
          </cell>
          <cell r="J20">
            <v>0</v>
          </cell>
        </row>
        <row r="21">
          <cell r="I21">
            <v>0</v>
          </cell>
          <cell r="J21">
            <v>0</v>
          </cell>
        </row>
        <row r="27">
          <cell r="I27">
            <v>0.13597821666189061</v>
          </cell>
          <cell r="J27">
            <v>0.23487960154215734</v>
          </cell>
          <cell r="L27">
            <v>0.17451837346735202</v>
          </cell>
        </row>
        <row r="28">
          <cell r="I28">
            <v>5.8367674105625697E-2</v>
          </cell>
          <cell r="J28">
            <v>0.12819607887593021</v>
          </cell>
          <cell r="L28">
            <v>0.10942336273004506</v>
          </cell>
        </row>
        <row r="30">
          <cell r="L30">
            <v>0.15830495514052295</v>
          </cell>
        </row>
        <row r="35">
          <cell r="I35">
            <v>0.1649901802637759</v>
          </cell>
          <cell r="J35">
            <v>9.8631712913821959E-2</v>
          </cell>
          <cell r="L35">
            <v>0.1391314348060306</v>
          </cell>
        </row>
        <row r="36">
          <cell r="I36">
            <v>0.12476331328161443</v>
          </cell>
          <cell r="J36">
            <v>0.1649470283041021</v>
          </cell>
          <cell r="L36">
            <v>0.15414401084601026</v>
          </cell>
        </row>
        <row r="38">
          <cell r="L38">
            <v>0.14287066416850494</v>
          </cell>
        </row>
        <row r="43">
          <cell r="I43">
            <v>8.7547645191238574E-2</v>
          </cell>
          <cell r="J43">
            <v>0.27842841395843276</v>
          </cell>
        </row>
        <row r="46">
          <cell r="I46">
            <v>3.8197963209166262E-2</v>
          </cell>
          <cell r="J46">
            <v>9.88884449045868E-2</v>
          </cell>
        </row>
        <row r="50">
          <cell r="I50">
            <v>3.2261403645206709E-2</v>
          </cell>
          <cell r="J50">
            <v>1.0644758975689617E-2</v>
          </cell>
          <cell r="L50">
            <v>2.3837771598196254E-2</v>
          </cell>
        </row>
        <row r="51">
          <cell r="I51">
            <v>0</v>
          </cell>
          <cell r="J51">
            <v>2.8613550828090885E-3</v>
          </cell>
          <cell r="L51">
            <v>2.0921064233437379E-3</v>
          </cell>
        </row>
        <row r="53">
          <cell r="L53">
            <v>1.8421510623943455E-2</v>
          </cell>
        </row>
        <row r="64">
          <cell r="I64">
            <v>0.98546930096285335</v>
          </cell>
        </row>
        <row r="75">
          <cell r="I75">
            <v>0.93640551858187504</v>
          </cell>
        </row>
        <row r="78">
          <cell r="I78">
            <v>0.87764489634961651</v>
          </cell>
        </row>
        <row r="82">
          <cell r="I82">
            <v>0.86895503473004965</v>
          </cell>
        </row>
        <row r="89">
          <cell r="J89">
            <v>0.52766223341265472</v>
          </cell>
        </row>
        <row r="100">
          <cell r="J100">
            <v>1.2831400506742725</v>
          </cell>
        </row>
        <row r="108">
          <cell r="I108">
            <v>2.2906090340948593</v>
          </cell>
        </row>
        <row r="111">
          <cell r="I111">
            <v>1.0654190989347723</v>
          </cell>
        </row>
        <row r="114">
          <cell r="I114">
            <v>1.6655502145549572</v>
          </cell>
        </row>
        <row r="120">
          <cell r="I120">
            <v>1.0109839382712824</v>
          </cell>
        </row>
        <row r="126">
          <cell r="I126">
            <v>0.34060273187152323</v>
          </cell>
          <cell r="J126">
            <v>4.0633005829326954E-2</v>
          </cell>
        </row>
        <row r="127">
          <cell r="I127">
            <v>0.13278888545034082</v>
          </cell>
          <cell r="J127">
            <v>1.9105116539180608E-2</v>
          </cell>
        </row>
        <row r="128">
          <cell r="J128">
            <v>7.8395734639023578E-4</v>
          </cell>
        </row>
        <row r="132">
          <cell r="I132">
            <v>0.34326742786996628</v>
          </cell>
        </row>
        <row r="133">
          <cell r="I133">
            <v>0.38856519701929759</v>
          </cell>
        </row>
        <row r="134">
          <cell r="I134">
            <v>0.26816737511073607</v>
          </cell>
        </row>
        <row r="137">
          <cell r="I137">
            <v>0.95</v>
          </cell>
        </row>
        <row r="138">
          <cell r="B138">
            <v>2006</v>
          </cell>
        </row>
        <row r="146">
          <cell r="B146">
            <v>1802.7725325176218</v>
          </cell>
        </row>
        <row r="147">
          <cell r="B147">
            <v>1431.3235818765609</v>
          </cell>
        </row>
        <row r="148">
          <cell r="B148">
            <v>1431.3235818765609</v>
          </cell>
        </row>
        <row r="149">
          <cell r="B149">
            <v>178.91544773457011</v>
          </cell>
        </row>
      </sheetData>
      <sheetData sheetId="1">
        <row r="11">
          <cell r="I11">
            <v>2.9671514740017984E-2</v>
          </cell>
          <cell r="J11">
            <v>0</v>
          </cell>
          <cell r="L11">
            <v>2.279607208754721E-2</v>
          </cell>
        </row>
        <row r="12">
          <cell r="I12">
            <v>0</v>
          </cell>
          <cell r="J12">
            <v>0</v>
          </cell>
          <cell r="L12">
            <v>0</v>
          </cell>
        </row>
        <row r="14">
          <cell r="L14">
            <v>1.96145349060163E-2</v>
          </cell>
        </row>
        <row r="19">
          <cell r="I19">
            <v>0</v>
          </cell>
          <cell r="J19">
            <v>0</v>
          </cell>
        </row>
        <row r="20">
          <cell r="I20">
            <v>0</v>
          </cell>
          <cell r="J20">
            <v>0</v>
          </cell>
        </row>
        <row r="26">
          <cell r="I26">
            <v>1.0945836048995988E-3</v>
          </cell>
          <cell r="J26">
            <v>4.9999998343195358E-2</v>
          </cell>
          <cell r="L26">
            <v>1.2426879154171162E-2</v>
          </cell>
        </row>
        <row r="27">
          <cell r="I27">
            <v>0</v>
          </cell>
          <cell r="J27">
            <v>0</v>
          </cell>
          <cell r="L27">
            <v>0</v>
          </cell>
        </row>
        <row r="29">
          <cell r="L29">
            <v>1.0692519922126772E-2</v>
          </cell>
        </row>
        <row r="34">
          <cell r="I34">
            <v>0.85383980263040493</v>
          </cell>
          <cell r="J34">
            <v>0.73333333554240632</v>
          </cell>
          <cell r="L34">
            <v>0.82591620954879041</v>
          </cell>
        </row>
        <row r="35">
          <cell r="I35">
            <v>0.59999998409467525</v>
          </cell>
          <cell r="J35">
            <v>0.77777778759587934</v>
          </cell>
          <cell r="L35">
            <v>0.71428571563820797</v>
          </cell>
        </row>
        <row r="37">
          <cell r="L37">
            <v>0.81033648311148054</v>
          </cell>
        </row>
        <row r="42">
          <cell r="I42">
            <v>1.2325175673207357E-2</v>
          </cell>
          <cell r="J42">
            <v>6.8965519290222155E-2</v>
          </cell>
        </row>
        <row r="45">
          <cell r="I45">
            <v>5.3226756579866766E-2</v>
          </cell>
          <cell r="J45">
            <v>0.10344827665008544</v>
          </cell>
        </row>
        <row r="49">
          <cell r="I49">
            <v>2.3692380398754449E-2</v>
          </cell>
          <cell r="J49">
            <v>0</v>
          </cell>
          <cell r="L49">
            <v>1.8202414545664333E-2</v>
          </cell>
        </row>
        <row r="50">
          <cell r="I50">
            <v>0</v>
          </cell>
          <cell r="J50">
            <v>0</v>
          </cell>
          <cell r="L50">
            <v>0</v>
          </cell>
        </row>
        <row r="52">
          <cell r="L52">
            <v>1.5661991860200661E-2</v>
          </cell>
        </row>
        <row r="62">
          <cell r="I62">
            <v>0.46477658924872384</v>
          </cell>
        </row>
        <row r="64">
          <cell r="I64">
            <v>0.46266057162974022</v>
          </cell>
        </row>
        <row r="67">
          <cell r="I67">
            <v>0.78113749066870952</v>
          </cell>
        </row>
        <row r="71">
          <cell r="I71">
            <v>0.96585088459989477</v>
          </cell>
        </row>
        <row r="79">
          <cell r="J79">
            <v>4.7085148422193572E-2</v>
          </cell>
        </row>
        <row r="92">
          <cell r="J92">
            <v>1.0236201688615751</v>
          </cell>
        </row>
        <row r="99">
          <cell r="I99">
            <v>1.5145007606068333</v>
          </cell>
        </row>
        <row r="102">
          <cell r="I102">
            <v>1.038434724492763</v>
          </cell>
        </row>
        <row r="105">
          <cell r="I105">
            <v>0.71239882016544165</v>
          </cell>
        </row>
        <row r="111">
          <cell r="I111">
            <v>0.45062457275939666</v>
          </cell>
        </row>
        <row r="115">
          <cell r="H115">
            <v>0.69037391065424225</v>
          </cell>
          <cell r="I115">
            <v>5.571349522752414E-2</v>
          </cell>
        </row>
        <row r="119">
          <cell r="I119">
            <v>0.28209587583073897</v>
          </cell>
        </row>
        <row r="120">
          <cell r="I120">
            <v>0.1361689627047093</v>
          </cell>
        </row>
        <row r="121">
          <cell r="I121">
            <v>0.58148897029728519</v>
          </cell>
        </row>
        <row r="125">
          <cell r="B125">
            <v>1150</v>
          </cell>
        </row>
      </sheetData>
      <sheetData sheetId="2">
        <row r="12">
          <cell r="I12">
            <v>0.68310644913823848</v>
          </cell>
          <cell r="J12">
            <v>0.53068387215316171</v>
          </cell>
          <cell r="L12">
            <v>0.6103855317692306</v>
          </cell>
        </row>
        <row r="13">
          <cell r="I13">
            <v>0.29641575914254098</v>
          </cell>
          <cell r="J13">
            <v>0.49242118699820225</v>
          </cell>
          <cell r="L13">
            <v>0.42117367880782697</v>
          </cell>
        </row>
        <row r="15">
          <cell r="L15">
            <v>0.54052539788177201</v>
          </cell>
        </row>
        <row r="20">
          <cell r="I20">
            <v>0.15868069027846163</v>
          </cell>
          <cell r="J20">
            <v>4.8523578535561704E-2</v>
          </cell>
        </row>
        <row r="21">
          <cell r="I21">
            <v>8.6847892074621388E-2</v>
          </cell>
          <cell r="J21">
            <v>6.4577174474630405E-2</v>
          </cell>
        </row>
        <row r="27">
          <cell r="I27">
            <v>0.11042200533666623</v>
          </cell>
          <cell r="J27">
            <v>0.3014354043468136</v>
          </cell>
          <cell r="L27">
            <v>0.20155463070325005</v>
          </cell>
        </row>
        <row r="28">
          <cell r="I28">
            <v>1.6598912836278519E-2</v>
          </cell>
          <cell r="J28">
            <v>7.8940309013942875E-2</v>
          </cell>
          <cell r="L28">
            <v>5.6279359348618191E-2</v>
          </cell>
        </row>
        <row r="30">
          <cell r="L30">
            <v>0.14791660671834839</v>
          </cell>
        </row>
        <row r="35">
          <cell r="I35">
            <v>3.0024948086295324E-2</v>
          </cell>
          <cell r="J35">
            <v>2.9788775817665265E-2</v>
          </cell>
          <cell r="L35">
            <v>2.9912270132860779E-2</v>
          </cell>
        </row>
        <row r="36">
          <cell r="I36">
            <v>3.3197825672557038E-2</v>
          </cell>
          <cell r="J36">
            <v>3.9084849826646118E-2</v>
          </cell>
          <cell r="L36">
            <v>3.6944930507961368E-2</v>
          </cell>
        </row>
        <row r="38">
          <cell r="L38">
            <v>3.2508844225339915E-2</v>
          </cell>
        </row>
        <row r="43">
          <cell r="I43">
            <v>0.14076353391268348</v>
          </cell>
          <cell r="J43">
            <v>0.17641272113455647</v>
          </cell>
        </row>
        <row r="46">
          <cell r="I46">
            <v>0.21069287259219041</v>
          </cell>
          <cell r="J46">
            <v>0.16156829862253547</v>
          </cell>
        </row>
        <row r="50">
          <cell r="I50">
            <v>1.2931050080460879E-2</v>
          </cell>
          <cell r="J50">
            <v>0</v>
          </cell>
          <cell r="L50">
            <v>6.761637103748332E-3</v>
          </cell>
        </row>
        <row r="51">
          <cell r="I51">
            <v>2.3801185576297144E-2</v>
          </cell>
          <cell r="J51">
            <v>9.4794076514498494E-3</v>
          </cell>
          <cell r="L51">
            <v>1.4685339962430082E-2</v>
          </cell>
        </row>
        <row r="53">
          <cell r="L53">
            <v>9.6871987634867523E-3</v>
          </cell>
        </row>
        <row r="61">
          <cell r="I61">
            <v>0.95368270905809616</v>
          </cell>
        </row>
        <row r="64">
          <cell r="I64">
            <v>0.88480083438048951</v>
          </cell>
        </row>
        <row r="67">
          <cell r="I67">
            <v>0.76196535734220561</v>
          </cell>
        </row>
        <row r="71">
          <cell r="I71">
            <v>0.89920410170315002</v>
          </cell>
        </row>
        <row r="78">
          <cell r="J78">
            <v>0.44147575101117187</v>
          </cell>
        </row>
        <row r="89">
          <cell r="J89">
            <v>1.1963734390534748</v>
          </cell>
        </row>
        <row r="97">
          <cell r="I97">
            <v>2.0454162110233622</v>
          </cell>
        </row>
        <row r="100">
          <cell r="I100">
            <v>1.3170555258448295</v>
          </cell>
        </row>
        <row r="103">
          <cell r="I103">
            <v>1.1331497454290105</v>
          </cell>
        </row>
        <row r="109">
          <cell r="I109">
            <v>0.72198913200149617</v>
          </cell>
        </row>
        <row r="113">
          <cell r="H113">
            <v>0.64044035004660882</v>
          </cell>
          <cell r="I113">
            <v>0</v>
          </cell>
        </row>
        <row r="114">
          <cell r="H114">
            <v>3.5084497934898207E-2</v>
          </cell>
          <cell r="I114">
            <v>0</v>
          </cell>
        </row>
        <row r="115">
          <cell r="H115">
            <v>0.19050866802895391</v>
          </cell>
          <cell r="I115">
            <v>0</v>
          </cell>
        </row>
        <row r="119">
          <cell r="I119">
            <v>0.61756164079161069</v>
          </cell>
        </row>
        <row r="120">
          <cell r="I120">
            <v>0.1938401811419673</v>
          </cell>
        </row>
        <row r="121">
          <cell r="I121">
            <v>0.18859817806642193</v>
          </cell>
        </row>
        <row r="125">
          <cell r="B125">
            <v>1280</v>
          </cell>
        </row>
        <row r="127">
          <cell r="B127">
            <v>1216.4209797598855</v>
          </cell>
        </row>
        <row r="128">
          <cell r="B128">
            <v>1280</v>
          </cell>
        </row>
        <row r="129">
          <cell r="B129">
            <v>1280</v>
          </cell>
        </row>
        <row r="130">
          <cell r="B130">
            <v>160</v>
          </cell>
        </row>
      </sheetData>
      <sheetData sheetId="3">
        <row r="4">
          <cell r="T4">
            <v>0.43481214645857158</v>
          </cell>
        </row>
      </sheetData>
      <sheetData sheetId="4"/>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ummary"/>
      <sheetName val="MeasureTable"/>
      <sheetName val="7PSourceSummary"/>
      <sheetName val="RPM"/>
      <sheetName val="SC-NR"/>
      <sheetName val="Accomplishments"/>
      <sheetName val="Bulb Weighting"/>
      <sheetName val="M_Input_Out"/>
      <sheetName val="M_Input"/>
      <sheetName val="LookupTable"/>
      <sheetName val="SavingsData&amp;Analysis"/>
      <sheetName val="ValidationLists"/>
    </sheetNames>
    <sheetDataSet>
      <sheetData sheetId="0"/>
      <sheetData sheetId="1"/>
      <sheetData sheetId="2"/>
      <sheetData sheetId="3"/>
      <sheetData sheetId="4">
        <row r="10">
          <cell r="C10">
            <v>41.185970860882968</v>
          </cell>
        </row>
      </sheetData>
      <sheetData sheetId="5"/>
      <sheetData sheetId="6"/>
      <sheetData sheetId="7"/>
      <sheetData sheetId="8"/>
      <sheetData sheetId="9"/>
      <sheetData sheetId="10"/>
      <sheetData sheetId="1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PIVOT"/>
      <sheetName val="DHW System Type"/>
      <sheetName val="Primary SpHt System Type"/>
      <sheetName val="Cooling_System"/>
      <sheetName val="Large_Appliances"/>
      <sheetName val="Size"/>
      <sheetName val="Climate zones"/>
      <sheetName val="Site Weight"/>
    </sheetNames>
    <sheetDataSet>
      <sheetData sheetId="0">
        <row r="8">
          <cell r="A8">
            <v>0.58017916240221834</v>
          </cell>
          <cell r="B8">
            <v>0.4198208375977816</v>
          </cell>
        </row>
        <row r="22">
          <cell r="G22">
            <v>1.8379055706406227E-2</v>
          </cell>
          <cell r="H22">
            <v>2.412923495568365E-2</v>
          </cell>
          <cell r="I22">
            <v>2.0048426314096562E-2</v>
          </cell>
          <cell r="L22">
            <v>2.1766292465668989E-2</v>
          </cell>
        </row>
        <row r="23">
          <cell r="G23">
            <v>7.4095770994953139E-2</v>
          </cell>
          <cell r="H23">
            <v>0.1235678638282882</v>
          </cell>
          <cell r="I23">
            <v>8.8458324594873558E-2</v>
          </cell>
          <cell r="L23">
            <v>8.9373362312324317E-2</v>
          </cell>
        </row>
        <row r="24">
          <cell r="G24">
            <v>6.1965327738795109E-2</v>
          </cell>
          <cell r="H24">
            <v>6.7430556561826104E-3</v>
          </cell>
          <cell r="L24">
            <v>4.1178226016708668E-2</v>
          </cell>
        </row>
        <row r="29">
          <cell r="G29">
            <v>1.4117647058823532E-2</v>
          </cell>
          <cell r="H29">
            <v>0.14117647058823535</v>
          </cell>
        </row>
        <row r="30">
          <cell r="G30">
            <v>0.11294117647058827</v>
          </cell>
          <cell r="H30">
            <v>0</v>
          </cell>
          <cell r="I30">
            <v>9.6333066453162572E-2</v>
          </cell>
        </row>
        <row r="31">
          <cell r="G31">
            <v>1.4117647058823532E-2</v>
          </cell>
          <cell r="H31">
            <v>0</v>
          </cell>
          <cell r="I31">
            <v>1.204163330664532E-2</v>
          </cell>
        </row>
        <row r="46">
          <cell r="H46">
            <v>0.99177648564154341</v>
          </cell>
          <cell r="I46">
            <v>0.97720135258324703</v>
          </cell>
        </row>
        <row r="47">
          <cell r="H47">
            <v>8.2235143584565747E-3</v>
          </cell>
          <cell r="I47">
            <v>2.2798647416753057E-2</v>
          </cell>
        </row>
        <row r="57">
          <cell r="A57">
            <v>2.6054137843968896</v>
          </cell>
          <cell r="B57">
            <v>1.6074234662188889</v>
          </cell>
        </row>
        <row r="65">
          <cell r="F65">
            <v>0.13310430527104683</v>
          </cell>
          <cell r="G65">
            <v>0.12117534162825606</v>
          </cell>
        </row>
        <row r="66">
          <cell r="F66">
            <v>1.9503476240466618E-2</v>
          </cell>
          <cell r="G66">
            <v>3.0407952417464763E-2</v>
          </cell>
        </row>
      </sheetData>
      <sheetData sheetId="1"/>
      <sheetData sheetId="2"/>
      <sheetData sheetId="3"/>
      <sheetData sheetId="4"/>
      <sheetData sheetId="5">
        <row r="2">
          <cell r="F2">
            <v>2355.4741545098454</v>
          </cell>
        </row>
        <row r="5">
          <cell r="G5">
            <v>1177.7370772549227</v>
          </cell>
        </row>
        <row r="6">
          <cell r="G6">
            <v>1177.7370772549227</v>
          </cell>
        </row>
        <row r="7">
          <cell r="G7">
            <v>583.40896061568401</v>
          </cell>
        </row>
        <row r="8">
          <cell r="G8">
            <v>147.21713465686534</v>
          </cell>
        </row>
      </sheetData>
      <sheetData sheetId="6"/>
      <sheetData sheetId="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M_Input_Out"/>
      <sheetName val="M_Input"/>
      <sheetName val="Segmented"/>
      <sheetName val="Composite"/>
      <sheetName val="RawRTF"/>
      <sheetName val="EULSummary"/>
      <sheetName val="CostSummary"/>
      <sheetName val="SF Measure Development"/>
      <sheetName val="MF Measure Development"/>
      <sheetName val="MH Measure Development"/>
      <sheetName val="CEC Data"/>
      <sheetName val="Cost Model "/>
      <sheetName val="Baseline and Measure Cases"/>
      <sheetName val="SF Assumptions"/>
      <sheetName val="MF Assumptions"/>
      <sheetName val="MH Assumptions"/>
    </sheetNames>
    <sheetDataSet>
      <sheetData sheetId="0"/>
      <sheetData sheetId="1"/>
      <sheetData sheetId="2">
        <row r="10">
          <cell r="C10">
            <v>0.16475427844716631</v>
          </cell>
        </row>
      </sheetData>
      <sheetData sheetId="3">
        <row r="10">
          <cell r="C10">
            <v>0.76936177080110313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Common Units"/>
      <sheetName val="Accomplishments"/>
      <sheetName val="M_Input_Out"/>
      <sheetName val="M_Input"/>
      <sheetName val="Segmented"/>
      <sheetName val="Composite"/>
      <sheetName val="RawRTF"/>
      <sheetName val="Eff. Standards &amp; Certifications"/>
      <sheetName val="SFAssumptions"/>
      <sheetName val="MFAssumptions"/>
      <sheetName val="MHAssumptions"/>
      <sheetName val="SavingsData&amp;Analysis"/>
      <sheetName val="CostData&amp;Analysis"/>
      <sheetName val="Northwest Retail Cost Data"/>
      <sheetName val="SFBaselines and Measures"/>
      <sheetName val="MFBaselines and Measures"/>
      <sheetName val="MHBaselines and Measures"/>
      <sheetName val="SF Measure Development"/>
      <sheetName val="MF Measure Development"/>
      <sheetName val="MH Measure Development"/>
      <sheetName val="DOE EERE Data"/>
      <sheetName val="DOE Res Data"/>
    </sheetNames>
    <sheetDataSet>
      <sheetData sheetId="0"/>
      <sheetData sheetId="1"/>
      <sheetData sheetId="2">
        <row r="10">
          <cell r="C10">
            <v>10.583985386405807</v>
          </cell>
        </row>
      </sheetData>
      <sheetData sheetId="3">
        <row r="10">
          <cell r="C10">
            <v>49.766395138584762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7PSourceSummary"/>
      <sheetName val="forRPM"/>
      <sheetName val="SC-New"/>
      <sheetName val="Weighting"/>
      <sheetName val="M_Input_Out"/>
      <sheetName val="M_Input"/>
      <sheetName val="Cost"/>
      <sheetName val="CostNotes"/>
      <sheetName val="Savings"/>
      <sheetName val="NRC Ratings"/>
      <sheetName val="SavingsNotes"/>
      <sheetName val="Notes"/>
    </sheetNames>
    <sheetDataSet>
      <sheetData sheetId="0"/>
      <sheetData sheetId="1"/>
      <sheetData sheetId="2">
        <row r="10">
          <cell r="C10">
            <v>7.7151869035977052</v>
          </cell>
        </row>
      </sheetData>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7PSourceSummary"/>
      <sheetName val="forRPM"/>
      <sheetName val="SC-New"/>
      <sheetName val="SC-Retro"/>
      <sheetName val="Units Per Home"/>
      <sheetName val="Accomplishments"/>
      <sheetName val="SFshowerhead"/>
      <sheetName val="MHshowerhead"/>
      <sheetName val="MFunit_showerheads"/>
      <sheetName val="M_Input_Out"/>
      <sheetName val="M_Input"/>
      <sheetName val="Increment"/>
      <sheetName val="Raw"/>
      <sheetName val="SFResidential Analysis"/>
      <sheetName val="MFResidential Analysis"/>
      <sheetName val="MHResidential Analysis"/>
      <sheetName val="SF Input Assumptions"/>
      <sheetName val="MF Input Assumptions"/>
      <sheetName val="MH Input Assumptions"/>
      <sheetName val="WasteWater System Savings"/>
    </sheetNames>
    <sheetDataSet>
      <sheetData sheetId="0"/>
      <sheetData sheetId="1"/>
      <sheetData sheetId="2">
        <row r="10">
          <cell r="C10">
            <v>21.407960149926218</v>
          </cell>
        </row>
      </sheetData>
      <sheetData sheetId="3">
        <row r="10">
          <cell r="C10">
            <v>100.52976554712743</v>
          </cell>
        </row>
      </sheetData>
      <sheetData sheetId="4"/>
      <sheetData sheetId="5">
        <row r="13">
          <cell r="H13">
            <v>7.3525713420075897E-2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accomplishments"/>
      <sheetName val="HVAC weighting"/>
      <sheetName val="M_Input_Out"/>
      <sheetName val="M_Input"/>
      <sheetName val="Segmented"/>
      <sheetName val="weighting"/>
      <sheetName val="Composite"/>
      <sheetName val="Raw"/>
      <sheetName val="Res-HPWH-7P_v3"/>
    </sheetNames>
    <sheetDataSet>
      <sheetData sheetId="0"/>
      <sheetData sheetId="1"/>
      <sheetData sheetId="2">
        <row r="10">
          <cell r="C10">
            <v>22.199518178603135</v>
          </cell>
        </row>
      </sheetData>
      <sheetData sheetId="3">
        <row r="10">
          <cell r="C10">
            <v>266.36862228974621</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7PSourceSummary"/>
      <sheetName val="forRPM"/>
      <sheetName val="SC-NR"/>
      <sheetName val="M_Input_Out"/>
      <sheetName val="M_Input"/>
      <sheetName val="Raw"/>
      <sheetName val="Cost&amp;Savings"/>
    </sheetNames>
    <sheetDataSet>
      <sheetData sheetId="0"/>
      <sheetData sheetId="1"/>
      <sheetData sheetId="2">
        <row r="10">
          <cell r="C10">
            <v>7.4364802280030116</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hyperlink" Target="../Global%20EE%20Inputs/Units%20Forecasts/'%5b7P%20Forecasts%20D1.xlsx%5dResIDExistBase"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e3tnw.org/ItemDetail.aspx?id=156" TargetMode="External"/><Relationship Id="rId1" Type="http://schemas.openxmlformats.org/officeDocument/2006/relationships/hyperlink" Target="http://e3tnw.org/ItemDetail.aspx?id=240"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Res-MH_Wx-7P_v3.xlsx" TargetMode="External"/><Relationship Id="rId18" Type="http://schemas.openxmlformats.org/officeDocument/2006/relationships/hyperlink" Target="Res-SF_HP-7P_v4.xlsx" TargetMode="External"/><Relationship Id="rId26" Type="http://schemas.openxmlformats.org/officeDocument/2006/relationships/hyperlink" Target="Res-Showerhead-7P_v4.xlsx" TargetMode="External"/><Relationship Id="rId39" Type="http://schemas.openxmlformats.org/officeDocument/2006/relationships/hyperlink" Target="Res-Computers-7P_v4.xlsx" TargetMode="External"/><Relationship Id="rId21" Type="http://schemas.openxmlformats.org/officeDocument/2006/relationships/hyperlink" Target="Res-SWH-7P_v1.xlsx" TargetMode="External"/><Relationship Id="rId34" Type="http://schemas.openxmlformats.org/officeDocument/2006/relationships/hyperlink" Target="Res-Microwave-7P_v3.xlsx" TargetMode="External"/><Relationship Id="rId42" Type="http://schemas.openxmlformats.org/officeDocument/2006/relationships/hyperlink" Target="Res-CCS-7P_v3.xlsx" TargetMode="External"/><Relationship Id="rId47" Type="http://schemas.openxmlformats.org/officeDocument/2006/relationships/hyperlink" Target="Res-WiFitstat-7P_v3.xlsx" TargetMode="External"/><Relationship Id="rId50" Type="http://schemas.openxmlformats.org/officeDocument/2006/relationships/hyperlink" Target="Res-PowerStrips-7P_v5.xlsx" TargetMode="External"/><Relationship Id="rId55" Type="http://schemas.openxmlformats.org/officeDocument/2006/relationships/printerSettings" Target="../printerSettings/printerSettings3.bin"/><Relationship Id="rId7" Type="http://schemas.openxmlformats.org/officeDocument/2006/relationships/hyperlink" Target="Res-SF_Wx-7P_v5.xlsx" TargetMode="External"/><Relationship Id="rId12" Type="http://schemas.openxmlformats.org/officeDocument/2006/relationships/hyperlink" Target="Res-COP-7P_v2.xlsx" TargetMode="External"/><Relationship Id="rId17" Type="http://schemas.openxmlformats.org/officeDocument/2006/relationships/hyperlink" Target="Res-FAF_to_DHP-7P_v2.xlsx" TargetMode="External"/><Relationship Id="rId25" Type="http://schemas.openxmlformats.org/officeDocument/2006/relationships/hyperlink" Target="Res-Aerator-7P_v4.xlsx" TargetMode="External"/><Relationship Id="rId33" Type="http://schemas.openxmlformats.org/officeDocument/2006/relationships/hyperlink" Target="Res-Oven-7P_v3.xlsx" TargetMode="External"/><Relationship Id="rId38" Type="http://schemas.openxmlformats.org/officeDocument/2006/relationships/hyperlink" Target="Res-Computers-7P_v4.xlsx" TargetMode="External"/><Relationship Id="rId46" Type="http://schemas.openxmlformats.org/officeDocument/2006/relationships/hyperlink" Target="Res-PowerStrips-7P_v5.xlsx" TargetMode="External"/><Relationship Id="rId2" Type="http://schemas.openxmlformats.org/officeDocument/2006/relationships/hyperlink" Target="Res-GFX-7P_v2p.xlsx" TargetMode="External"/><Relationship Id="rId16" Type="http://schemas.openxmlformats.org/officeDocument/2006/relationships/hyperlink" Target="Res-ClothesDryer-7P_v2.xlsx" TargetMode="External"/><Relationship Id="rId20" Type="http://schemas.openxmlformats.org/officeDocument/2006/relationships/hyperlink" Target="Res-MF_Wx-7P_v5.xlsx" TargetMode="External"/><Relationship Id="rId29" Type="http://schemas.openxmlformats.org/officeDocument/2006/relationships/hyperlink" Target="Res-ClothesDryer-7P_v2.xlsx" TargetMode="External"/><Relationship Id="rId41" Type="http://schemas.openxmlformats.org/officeDocument/2006/relationships/hyperlink" Target="Res-WiFitstat-7P_v3.xlsx" TargetMode="External"/><Relationship Id="rId54" Type="http://schemas.openxmlformats.org/officeDocument/2006/relationships/hyperlink" Target="Res-Lighting-7P_v3.xlsx" TargetMode="External"/><Relationship Id="rId1" Type="http://schemas.openxmlformats.org/officeDocument/2006/relationships/hyperlink" Target="Res-Dishwasher-7P_v3.xlsx" TargetMode="External"/><Relationship Id="rId6" Type="http://schemas.openxmlformats.org/officeDocument/2006/relationships/hyperlink" Target="Res-Aerator-7P_v4.xlsx" TargetMode="External"/><Relationship Id="rId11" Type="http://schemas.openxmlformats.org/officeDocument/2006/relationships/hyperlink" Target="Res-Computers-7P_v4.xlsx" TargetMode="External"/><Relationship Id="rId24" Type="http://schemas.openxmlformats.org/officeDocument/2006/relationships/hyperlink" Target="Res-GSHP-7P_v1.xlsx" TargetMode="External"/><Relationship Id="rId32" Type="http://schemas.openxmlformats.org/officeDocument/2006/relationships/hyperlink" Target="Res-RefrigFreezer-7P_v3.xlsm" TargetMode="External"/><Relationship Id="rId37" Type="http://schemas.openxmlformats.org/officeDocument/2006/relationships/hyperlink" Target="Res-Computers-7P_v4.xlsx" TargetMode="External"/><Relationship Id="rId40" Type="http://schemas.openxmlformats.org/officeDocument/2006/relationships/hyperlink" Target="Res-COP-7P_v2.xlsx" TargetMode="External"/><Relationship Id="rId45" Type="http://schemas.openxmlformats.org/officeDocument/2006/relationships/hyperlink" Target="Res-ClothesWasher-7P_v2.xlsx" TargetMode="External"/><Relationship Id="rId53" Type="http://schemas.openxmlformats.org/officeDocument/2006/relationships/hyperlink" Target="Res-SF_HP-7P_v4.xlsx" TargetMode="External"/><Relationship Id="rId5" Type="http://schemas.openxmlformats.org/officeDocument/2006/relationships/hyperlink" Target="Res-Microwave-7P_v3.xlsx" TargetMode="External"/><Relationship Id="rId15" Type="http://schemas.openxmlformats.org/officeDocument/2006/relationships/hyperlink" Target="Res-ClothesWasher-7P_v2.xlsx" TargetMode="External"/><Relationship Id="rId23" Type="http://schemas.openxmlformats.org/officeDocument/2006/relationships/hyperlink" Target="Res-GSHP-7P_v1.xlsx" TargetMode="External"/><Relationship Id="rId28" Type="http://schemas.openxmlformats.org/officeDocument/2006/relationships/hyperlink" Target="Res-HPWH-7P_v3.xlsx" TargetMode="External"/><Relationship Id="rId36" Type="http://schemas.openxmlformats.org/officeDocument/2006/relationships/hyperlink" Target="Res-Computers-7P_v4.xlsx" TargetMode="External"/><Relationship Id="rId49" Type="http://schemas.openxmlformats.org/officeDocument/2006/relationships/hyperlink" Target="Res-Lighting_PPA-7P_v4.xlsx" TargetMode="External"/><Relationship Id="rId57" Type="http://schemas.openxmlformats.org/officeDocument/2006/relationships/comments" Target="../comments1.xml"/><Relationship Id="rId10" Type="http://schemas.openxmlformats.org/officeDocument/2006/relationships/hyperlink" Target="Res-EVCharger-7P_v1p.xlsx" TargetMode="External"/><Relationship Id="rId19" Type="http://schemas.openxmlformats.org/officeDocument/2006/relationships/hyperlink" Target="Res-HRV-7P_v1.xlsx" TargetMode="External"/><Relationship Id="rId31" Type="http://schemas.openxmlformats.org/officeDocument/2006/relationships/hyperlink" Target="Res-RefrigFreezer-7P_v3.xlsm" TargetMode="External"/><Relationship Id="rId44" Type="http://schemas.openxmlformats.org/officeDocument/2006/relationships/hyperlink" Target="Res-Duct_Seal-7P_v3.xlsx" TargetMode="External"/><Relationship Id="rId52" Type="http://schemas.openxmlformats.org/officeDocument/2006/relationships/hyperlink" Target="Res-SF_HP-7P_v4.xlsx" TargetMode="External"/><Relationship Id="rId4" Type="http://schemas.openxmlformats.org/officeDocument/2006/relationships/hyperlink" Target="Res-Oven-7P_v3.xlsx" TargetMode="External"/><Relationship Id="rId9" Type="http://schemas.openxmlformats.org/officeDocument/2006/relationships/hyperlink" Target="Res-HPWH-7P_v3.xlsx" TargetMode="External"/><Relationship Id="rId14" Type="http://schemas.openxmlformats.org/officeDocument/2006/relationships/hyperlink" Target="Res-Lighting-7P_v3.xlsx" TargetMode="External"/><Relationship Id="rId22" Type="http://schemas.openxmlformats.org/officeDocument/2006/relationships/hyperlink" Target="Res-SWH-7P_v1.xlsx" TargetMode="External"/><Relationship Id="rId27" Type="http://schemas.openxmlformats.org/officeDocument/2006/relationships/hyperlink" Target="Res-Dishwasher-7P_v3.xlsx" TargetMode="External"/><Relationship Id="rId30" Type="http://schemas.openxmlformats.org/officeDocument/2006/relationships/hyperlink" Target="Res-RefrigFreezer-7P_v3.xlsm" TargetMode="External"/><Relationship Id="rId35" Type="http://schemas.openxmlformats.org/officeDocument/2006/relationships/hyperlink" Target="Res-Computers-7P_v4.xlsx" TargetMode="External"/><Relationship Id="rId43" Type="http://schemas.openxmlformats.org/officeDocument/2006/relationships/hyperlink" Target="Res-CCS-7P_v3.xlsx" TargetMode="External"/><Relationship Id="rId48" Type="http://schemas.openxmlformats.org/officeDocument/2006/relationships/hyperlink" Target="Res-Duct_Seal-7P_v3.xlsx" TargetMode="External"/><Relationship Id="rId56" Type="http://schemas.openxmlformats.org/officeDocument/2006/relationships/vmlDrawing" Target="../drawings/vmlDrawing1.vml"/><Relationship Id="rId8" Type="http://schemas.openxmlformats.org/officeDocument/2006/relationships/hyperlink" Target="Res-Showerhead-7P_v4.xlsx" TargetMode="External"/><Relationship Id="rId51" Type="http://schemas.openxmlformats.org/officeDocument/2006/relationships/hyperlink" Target="Res-SF_HP-7P_v4.xlsx" TargetMode="External"/><Relationship Id="rId3" Type="http://schemas.openxmlformats.org/officeDocument/2006/relationships/hyperlink" Target="Res-RefrigFreezer-7P_v3.xls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codeName="Sheet13"/>
  <dimension ref="A1:B132"/>
  <sheetViews>
    <sheetView topLeftCell="A97" zoomScale="75" workbookViewId="0">
      <selection activeCell="B128" sqref="B128"/>
    </sheetView>
  </sheetViews>
  <sheetFormatPr defaultRowHeight="12.75"/>
  <cols>
    <col min="1" max="1" width="16.140625" customWidth="1"/>
    <col min="2" max="2" width="95.28515625" customWidth="1"/>
    <col min="3" max="3" width="13.7109375" customWidth="1"/>
  </cols>
  <sheetData>
    <row r="1" spans="1:2">
      <c r="A1" s="25" t="str">
        <f ca="1">CELL("filename")</f>
        <v>\\nas2\Q\SeventhPlan\Conservation Analysis\Charts\[ConsBundle_withCharts_032615.xlsx]aMW-MAX</v>
      </c>
    </row>
    <row r="2" spans="1:2">
      <c r="A2" s="27" t="s">
        <v>6</v>
      </c>
      <c r="B2" s="38">
        <v>41857</v>
      </c>
    </row>
    <row r="116" spans="1:2" ht="15.75">
      <c r="A116" s="79" t="s">
        <v>105</v>
      </c>
      <c r="B116" s="79" t="s">
        <v>7</v>
      </c>
    </row>
    <row r="117" spans="1:2" ht="15">
      <c r="A117" s="80" t="s">
        <v>8</v>
      </c>
      <c r="B117" s="80" t="s">
        <v>110</v>
      </c>
    </row>
    <row r="118" spans="1:2" ht="15">
      <c r="A118" s="80" t="s">
        <v>116</v>
      </c>
      <c r="B118" s="81" t="s">
        <v>115</v>
      </c>
    </row>
    <row r="119" spans="1:2" ht="15">
      <c r="A119" s="80" t="s">
        <v>36</v>
      </c>
      <c r="B119" s="80" t="s">
        <v>109</v>
      </c>
    </row>
    <row r="120" spans="1:2" ht="15">
      <c r="A120" s="80" t="s">
        <v>38</v>
      </c>
      <c r="B120" s="80" t="s">
        <v>121</v>
      </c>
    </row>
    <row r="121" spans="1:2" ht="15">
      <c r="A121" s="80" t="s">
        <v>94</v>
      </c>
      <c r="B121" s="80" t="s">
        <v>120</v>
      </c>
    </row>
    <row r="122" spans="1:2" ht="15">
      <c r="A122" s="80" t="s">
        <v>95</v>
      </c>
      <c r="B122" s="80" t="s">
        <v>119</v>
      </c>
    </row>
    <row r="123" spans="1:2" ht="15">
      <c r="A123" s="80" t="s">
        <v>98</v>
      </c>
      <c r="B123" s="80" t="s">
        <v>118</v>
      </c>
    </row>
    <row r="124" spans="1:2" ht="15">
      <c r="A124" s="80" t="s">
        <v>99</v>
      </c>
      <c r="B124" s="80" t="s">
        <v>106</v>
      </c>
    </row>
    <row r="125" spans="1:2" ht="15">
      <c r="A125" s="80" t="s">
        <v>42</v>
      </c>
      <c r="B125" s="80" t="s">
        <v>43</v>
      </c>
    </row>
    <row r="126" spans="1:2" ht="15">
      <c r="A126" s="80" t="s">
        <v>35</v>
      </c>
      <c r="B126" s="80" t="s">
        <v>107</v>
      </c>
    </row>
    <row r="127" spans="1:2" ht="15">
      <c r="A127" s="80" t="s">
        <v>10</v>
      </c>
      <c r="B127" s="80" t="s">
        <v>12</v>
      </c>
    </row>
    <row r="128" spans="1:2" ht="15">
      <c r="A128" s="80" t="s">
        <v>13</v>
      </c>
      <c r="B128" s="80" t="s">
        <v>2</v>
      </c>
    </row>
    <row r="129" spans="1:2" ht="15">
      <c r="A129" s="80" t="s">
        <v>83</v>
      </c>
      <c r="B129" s="80" t="s">
        <v>117</v>
      </c>
    </row>
    <row r="130" spans="1:2" ht="15">
      <c r="A130" s="80" t="s">
        <v>101</v>
      </c>
      <c r="B130" s="80" t="s">
        <v>108</v>
      </c>
    </row>
    <row r="131" spans="1:2" ht="15">
      <c r="A131" s="80" t="s">
        <v>103</v>
      </c>
      <c r="B131" s="80" t="s">
        <v>9</v>
      </c>
    </row>
    <row r="132" spans="1:2" ht="15">
      <c r="A132" s="80" t="s">
        <v>163</v>
      </c>
      <c r="B132" s="80" t="s">
        <v>167</v>
      </c>
    </row>
  </sheetData>
  <phoneticPr fontId="0"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codeName="Sheet17" enableFormatConditionsCalculation="0">
    <tabColor rgb="FFFF0000"/>
  </sheetPr>
  <dimension ref="A1:AC115"/>
  <sheetViews>
    <sheetView topLeftCell="A69" zoomScale="130" zoomScaleNormal="130" workbookViewId="0">
      <selection activeCell="C87" sqref="C87"/>
    </sheetView>
  </sheetViews>
  <sheetFormatPr defaultRowHeight="12.75"/>
  <cols>
    <col min="1" max="1" width="13.7109375" customWidth="1"/>
    <col min="2" max="2" width="49.85546875" customWidth="1"/>
    <col min="3" max="3" width="16.28515625" customWidth="1"/>
    <col min="4" max="19" width="9.7109375" customWidth="1"/>
    <col min="20" max="20" width="7.85546875" customWidth="1"/>
    <col min="21" max="25" width="9.7109375" customWidth="1"/>
    <col min="27" max="27" width="36" customWidth="1"/>
  </cols>
  <sheetData>
    <row r="1" spans="1:29">
      <c r="A1" t="s">
        <v>30</v>
      </c>
      <c r="B1" t="s">
        <v>31</v>
      </c>
      <c r="C1" s="43" t="s">
        <v>487</v>
      </c>
      <c r="D1" s="55">
        <v>0.10937459468255628</v>
      </c>
      <c r="E1" s="55">
        <v>0.21874918936511256</v>
      </c>
      <c r="F1" s="55">
        <v>0.32812378404766884</v>
      </c>
      <c r="G1" s="55">
        <v>0.43749837873022512</v>
      </c>
      <c r="H1" s="55">
        <v>0.5468729734127814</v>
      </c>
      <c r="I1" s="55">
        <v>0.64531010862708205</v>
      </c>
      <c r="J1" s="55">
        <v>0.7240598167985226</v>
      </c>
      <c r="K1" s="55">
        <v>0.78705958333567505</v>
      </c>
      <c r="L1" s="55">
        <v>0.83745939656539703</v>
      </c>
      <c r="M1" s="55">
        <v>0.87777924714917455</v>
      </c>
      <c r="N1" s="55">
        <v>0.91003512761619654</v>
      </c>
      <c r="O1" s="55">
        <v>0.93583983198981413</v>
      </c>
      <c r="P1" s="55">
        <v>0.9564835954887082</v>
      </c>
      <c r="Q1" s="55">
        <v>0.97299860628782353</v>
      </c>
      <c r="R1" s="55">
        <v>0.9862106149271157</v>
      </c>
      <c r="S1" s="55">
        <v>0.99678022183854953</v>
      </c>
      <c r="T1" s="55">
        <v>0.99685231466234414</v>
      </c>
      <c r="U1" s="55">
        <v>0.99687806209941365</v>
      </c>
      <c r="V1" s="55">
        <v>0.99688683963477831</v>
      </c>
      <c r="W1" s="55">
        <v>0.99688970187457115</v>
      </c>
      <c r="X1" s="55"/>
      <c r="Y1" s="31">
        <f>SUM(D1:W1)</f>
        <v>15.258141989133511</v>
      </c>
      <c r="Z1" s="31"/>
      <c r="AA1" s="31">
        <f>Y1/2000%</f>
        <v>0.76290709945667556</v>
      </c>
    </row>
    <row r="2" spans="1:29">
      <c r="C2" s="43" t="s">
        <v>500</v>
      </c>
      <c r="D2" s="50">
        <v>4.2999999999999997E-2</v>
      </c>
      <c r="E2" s="55">
        <v>9.5797142280278316E-2</v>
      </c>
      <c r="F2" s="55">
        <v>0.16040539374775648</v>
      </c>
      <c r="G2" s="55">
        <v>0.23540539374775649</v>
      </c>
      <c r="H2" s="55">
        <v>0.32095239121809005</v>
      </c>
      <c r="I2" s="55">
        <v>0.42096711425629652</v>
      </c>
      <c r="J2" s="55">
        <v>0.53068481860864725</v>
      </c>
      <c r="K2" s="55">
        <v>0.642769203728351</v>
      </c>
      <c r="L2" s="55">
        <v>0.74839528535557953</v>
      </c>
      <c r="M2" s="55">
        <v>0.83918984935345187</v>
      </c>
      <c r="N2" s="55">
        <v>0.90945051634530116</v>
      </c>
      <c r="O2" s="55">
        <v>0.9576688767502457</v>
      </c>
      <c r="P2" s="55">
        <v>0.9865231113648858</v>
      </c>
      <c r="Q2" s="55">
        <v>1.0012970762896924</v>
      </c>
      <c r="R2" s="55">
        <v>1.0076356106578106</v>
      </c>
      <c r="S2" s="55">
        <v>1.0098624683774413</v>
      </c>
      <c r="T2" s="55">
        <v>1.0104871783970797</v>
      </c>
      <c r="U2" s="55">
        <v>1.010623336815976</v>
      </c>
      <c r="V2" s="55">
        <v>1.0106457174525985</v>
      </c>
      <c r="W2" s="55">
        <v>1.0106484038909742</v>
      </c>
      <c r="X2" s="55"/>
      <c r="Y2" s="31">
        <f>SUM(D2:W2)</f>
        <v>13.952408888638214</v>
      </c>
      <c r="Z2" s="31"/>
      <c r="AA2" s="31">
        <f>Y2/2000%</f>
        <v>0.69762044443191074</v>
      </c>
    </row>
    <row r="3" spans="1:29">
      <c r="C3" s="43" t="s">
        <v>501</v>
      </c>
      <c r="D3" s="55">
        <v>2.5643970768378654E-3</v>
      </c>
      <c r="E3" s="55">
        <v>7.6904586297764643E-3</v>
      </c>
      <c r="F3" s="55">
        <v>1.6792013047419844E-2</v>
      </c>
      <c r="G3" s="55">
        <v>3.15969387774655E-2</v>
      </c>
      <c r="H3" s="55">
        <v>5.406874819795171E-2</v>
      </c>
      <c r="I3" s="55">
        <v>8.6253181011834101E-2</v>
      </c>
      <c r="J3" s="55">
        <v>0.1300328481838382</v>
      </c>
      <c r="K3" s="55">
        <v>0.18678710893858319</v>
      </c>
      <c r="L3" s="55">
        <v>0.2569823480072907</v>
      </c>
      <c r="M3" s="55">
        <v>0.33975920985004748</v>
      </c>
      <c r="N3" s="55">
        <v>0.43262946935754232</v>
      </c>
      <c r="O3" s="55">
        <v>0.53142594003645804</v>
      </c>
      <c r="P3" s="55">
        <v>0.63063487292644704</v>
      </c>
      <c r="Q3" s="55">
        <v>0.7241560234206913</v>
      </c>
      <c r="R3" s="55">
        <v>0.80638203131755359</v>
      </c>
      <c r="S3" s="55">
        <v>0.87331559734491926</v>
      </c>
      <c r="T3" s="55">
        <v>0.92334516248836807</v>
      </c>
      <c r="U3" s="55">
        <v>0.95737002770730018</v>
      </c>
      <c r="V3" s="55">
        <v>0.97821608704807483</v>
      </c>
      <c r="W3" s="55">
        <v>0.98821608704807484</v>
      </c>
      <c r="X3" s="55"/>
      <c r="Y3" s="31">
        <f>SUM(D3:W3)</f>
        <v>8.9582185504164755</v>
      </c>
      <c r="Z3" s="31"/>
      <c r="AA3" s="31">
        <f>Y3/2000%</f>
        <v>0.44791092752082379</v>
      </c>
    </row>
    <row r="4" spans="1:29">
      <c r="C4" s="43" t="s">
        <v>488</v>
      </c>
      <c r="D4" s="55">
        <v>0.45</v>
      </c>
      <c r="E4" s="55">
        <v>0.66</v>
      </c>
      <c r="F4" s="55">
        <v>0.8</v>
      </c>
      <c r="G4" s="55">
        <v>0.89</v>
      </c>
      <c r="H4" s="55">
        <v>0.94954036260972652</v>
      </c>
      <c r="I4" s="55">
        <v>0.97931054391458994</v>
      </c>
      <c r="J4" s="55">
        <v>0.99254173560564019</v>
      </c>
      <c r="K4" s="55">
        <v>0.99783421228206048</v>
      </c>
      <c r="L4" s="55">
        <v>0.99975874925530417</v>
      </c>
      <c r="M4" s="55">
        <v>1.0004002615797187</v>
      </c>
      <c r="N4" s="55">
        <v>1.0005976499872309</v>
      </c>
      <c r="O4" s="55">
        <v>1.0006540466750915</v>
      </c>
      <c r="P4" s="55">
        <v>1.0006690857918545</v>
      </c>
      <c r="Q4" s="55">
        <v>1.000672845571045</v>
      </c>
      <c r="R4" s="55">
        <v>1.0006737302249724</v>
      </c>
      <c r="S4" s="55">
        <v>1.0006739268147338</v>
      </c>
      <c r="T4" s="55">
        <v>1.0006739682020522</v>
      </c>
      <c r="U4" s="55">
        <v>1.0006739764795158</v>
      </c>
      <c r="V4" s="55">
        <v>1.0006739780561755</v>
      </c>
      <c r="W4" s="55">
        <v>1.0006739783428409</v>
      </c>
      <c r="X4" s="55"/>
      <c r="Y4" s="31">
        <f>SUM(D4:W4)</f>
        <v>18.726023051392556</v>
      </c>
      <c r="Z4" s="31"/>
      <c r="AA4" s="31">
        <f>Y4/2000%</f>
        <v>0.93630115256962776</v>
      </c>
    </row>
    <row r="5" spans="1:29">
      <c r="C5" s="43" t="s">
        <v>489</v>
      </c>
      <c r="D5" s="50">
        <v>0.22119921692859512</v>
      </c>
      <c r="E5" s="50">
        <v>0.37624232795148943</v>
      </c>
      <c r="F5" s="50">
        <v>0.48357361352878442</v>
      </c>
      <c r="G5" s="50">
        <v>0.56716330278444227</v>
      </c>
      <c r="H5" s="50">
        <v>0.64040048266456928</v>
      </c>
      <c r="I5" s="50">
        <v>0.70377511937632964</v>
      </c>
      <c r="J5" s="50">
        <v>0.7580669577441127</v>
      </c>
      <c r="K5" s="50">
        <v>0.80419335000071168</v>
      </c>
      <c r="L5" s="50">
        <v>0.84311022627788457</v>
      </c>
      <c r="M5" s="50">
        <v>0.87575014259103623</v>
      </c>
      <c r="N5" s="50">
        <v>0.90298584871682319</v>
      </c>
      <c r="O5" s="50">
        <v>0.92419703797508856</v>
      </c>
      <c r="P5" s="50">
        <v>0.94071632877930145</v>
      </c>
      <c r="Q5" s="50">
        <v>0.95358156539340677</v>
      </c>
      <c r="R5" s="50">
        <v>0.96360102174287088</v>
      </c>
      <c r="S5" s="50">
        <v>0.97140418219378311</v>
      </c>
      <c r="T5" s="50">
        <v>0.97748128966338554</v>
      </c>
      <c r="U5" s="50">
        <v>0.98221414571952104</v>
      </c>
      <c r="V5" s="50">
        <v>0.98590009772220355</v>
      </c>
      <c r="W5" s="50">
        <v>0.98877072002825628</v>
      </c>
      <c r="X5" s="55"/>
      <c r="Y5" s="31">
        <f t="shared" ref="Y5:Y16" si="0">SUM(D5:W5)</f>
        <v>15.864326977782595</v>
      </c>
      <c r="Z5" s="31"/>
    </row>
    <row r="6" spans="1:29">
      <c r="C6" s="43" t="s">
        <v>490</v>
      </c>
      <c r="D6" s="50">
        <v>0.05</v>
      </c>
      <c r="E6" s="50">
        <v>0.1</v>
      </c>
      <c r="F6" s="50">
        <v>0.15000000000000002</v>
      </c>
      <c r="G6" s="50">
        <v>0.2</v>
      </c>
      <c r="H6" s="50">
        <v>0.25</v>
      </c>
      <c r="I6" s="50">
        <v>0.3</v>
      </c>
      <c r="J6" s="50">
        <v>0.35</v>
      </c>
      <c r="K6" s="50">
        <v>0.39999999999999997</v>
      </c>
      <c r="L6" s="50">
        <v>0.44999999999999996</v>
      </c>
      <c r="M6" s="50">
        <v>0.49999999999999994</v>
      </c>
      <c r="N6" s="50">
        <v>0.54999999999999993</v>
      </c>
      <c r="O6" s="50">
        <v>0.6</v>
      </c>
      <c r="P6" s="50">
        <v>0.65</v>
      </c>
      <c r="Q6" s="50">
        <v>0.70000000000000007</v>
      </c>
      <c r="R6" s="50">
        <v>0.75000000000000011</v>
      </c>
      <c r="S6" s="50">
        <v>0.80000000000000016</v>
      </c>
      <c r="T6" s="50">
        <v>0.8500000000000002</v>
      </c>
      <c r="U6" s="50">
        <v>0.90000000000000024</v>
      </c>
      <c r="V6" s="50">
        <v>0.95000000000000029</v>
      </c>
      <c r="W6" s="50">
        <v>1.0000000000000002</v>
      </c>
      <c r="X6" s="55"/>
      <c r="Y6" s="31"/>
      <c r="Z6" s="31"/>
    </row>
    <row r="7" spans="1:29">
      <c r="C7" s="43" t="s">
        <v>491</v>
      </c>
      <c r="D7" s="50">
        <v>0.01</v>
      </c>
      <c r="E7" s="50">
        <v>2.98E-2</v>
      </c>
      <c r="F7" s="50">
        <v>5.8906E-2</v>
      </c>
      <c r="G7" s="50">
        <v>9.6549759999999998E-2</v>
      </c>
      <c r="H7" s="50">
        <v>0.14172227199999998</v>
      </c>
      <c r="I7" s="50">
        <v>0.19035800991999999</v>
      </c>
      <c r="J7" s="50">
        <v>0.2362377226912</v>
      </c>
      <c r="K7" s="50">
        <v>0.279517585072032</v>
      </c>
      <c r="L7" s="50">
        <v>0.32034492191795017</v>
      </c>
      <c r="M7" s="50">
        <v>0.35885870967593297</v>
      </c>
      <c r="N7" s="50">
        <v>0.39519004946096342</v>
      </c>
      <c r="O7" s="50">
        <v>0.42946261332484215</v>
      </c>
      <c r="P7" s="50">
        <v>0.46179306523643443</v>
      </c>
      <c r="Q7" s="50">
        <v>0.49229145820636983</v>
      </c>
      <c r="R7" s="50">
        <v>0.5210616089080089</v>
      </c>
      <c r="S7" s="50">
        <v>0.54820145106988838</v>
      </c>
      <c r="T7" s="50">
        <v>0.57380336884259475</v>
      </c>
      <c r="U7" s="50">
        <v>0.59795451127484767</v>
      </c>
      <c r="V7" s="50">
        <v>0.62073708896927293</v>
      </c>
      <c r="W7" s="50">
        <v>0.6422286539276808</v>
      </c>
      <c r="X7" s="55"/>
      <c r="Y7" s="31"/>
      <c r="Z7" s="31"/>
    </row>
    <row r="8" spans="1:29">
      <c r="C8" s="43" t="s">
        <v>497</v>
      </c>
      <c r="D8" s="72">
        <v>5.5320496977002724E-3</v>
      </c>
      <c r="E8" s="72">
        <v>1.4227918344261844E-2</v>
      </c>
      <c r="F8" s="50">
        <v>3.1619655637384989E-2</v>
      </c>
      <c r="G8" s="50">
        <v>6.2055195900350503E-2</v>
      </c>
      <c r="H8" s="50">
        <v>0.10939936964274129</v>
      </c>
      <c r="I8" s="50">
        <v>0.17568121288208835</v>
      </c>
      <c r="J8" s="50">
        <v>0.26003992245943919</v>
      </c>
      <c r="K8" s="50">
        <v>0.3584584169663485</v>
      </c>
      <c r="L8" s="50">
        <v>0.46444756489686617</v>
      </c>
      <c r="M8" s="50">
        <v>0.57043671282738384</v>
      </c>
      <c r="N8" s="50">
        <v>0.66935991756253377</v>
      </c>
      <c r="O8" s="50">
        <v>0.75591772170578986</v>
      </c>
      <c r="P8" s="50">
        <v>0.82720061923553012</v>
      </c>
      <c r="Q8" s="50">
        <v>0.88264287286977261</v>
      </c>
      <c r="R8" s="50">
        <v>0.92349505975816193</v>
      </c>
      <c r="S8" s="50">
        <v>0.95209159058003434</v>
      </c>
      <c r="T8" s="50">
        <v>0.97115594446128262</v>
      </c>
      <c r="U8" s="50">
        <v>0.98328780602207699</v>
      </c>
      <c r="V8" s="50">
        <v>0.99067241740690848</v>
      </c>
      <c r="W8" s="50">
        <v>0.99498010738139331</v>
      </c>
      <c r="X8" s="55"/>
      <c r="Y8" s="31"/>
      <c r="Z8" s="31"/>
    </row>
    <row r="9" spans="1:29">
      <c r="C9" s="108" t="s">
        <v>482</v>
      </c>
      <c r="D9" s="50">
        <v>0.10937459468255628</v>
      </c>
      <c r="E9" s="50">
        <v>0.10937459468255628</v>
      </c>
      <c r="F9" s="50">
        <v>0.10937459468255628</v>
      </c>
      <c r="G9" s="50">
        <v>0.10937459468255628</v>
      </c>
      <c r="H9" s="50">
        <v>0.10937459468255628</v>
      </c>
      <c r="I9" s="50">
        <v>9.8437135214300656E-2</v>
      </c>
      <c r="J9" s="50">
        <v>7.874970817144053E-2</v>
      </c>
      <c r="K9" s="50">
        <v>6.2999766537152418E-2</v>
      </c>
      <c r="L9" s="50">
        <v>5.0399813229721938E-2</v>
      </c>
      <c r="M9" s="50">
        <v>4.0319850583777551E-2</v>
      </c>
      <c r="N9" s="50">
        <v>3.225588046702204E-2</v>
      </c>
      <c r="O9" s="50">
        <v>2.5804704373617631E-2</v>
      </c>
      <c r="P9" s="50">
        <v>2.0643763498894106E-2</v>
      </c>
      <c r="Q9" s="50">
        <v>1.6515010799115284E-2</v>
      </c>
      <c r="R9" s="50">
        <v>1.3212008639292228E-2</v>
      </c>
      <c r="S9" s="50">
        <v>1.0569606911433781E-2</v>
      </c>
      <c r="T9" s="50">
        <v>7.2092823794611682E-5</v>
      </c>
      <c r="U9" s="50">
        <v>2.5747437069512102E-5</v>
      </c>
      <c r="V9" s="50">
        <v>8.7775353646568632E-6</v>
      </c>
      <c r="W9" s="50">
        <v>2.8622397928446119E-6</v>
      </c>
      <c r="X9" s="55"/>
      <c r="Y9" s="31">
        <f t="shared" si="0"/>
        <v>0.99688970187457115</v>
      </c>
      <c r="Z9" s="31"/>
    </row>
    <row r="10" spans="1:29">
      <c r="C10" s="108" t="s">
        <v>499</v>
      </c>
      <c r="D10" s="50">
        <v>4.2999999999999997E-2</v>
      </c>
      <c r="E10" s="50">
        <v>5.279714228027832E-2</v>
      </c>
      <c r="F10" s="50">
        <v>6.4608251467478173E-2</v>
      </c>
      <c r="G10" s="50">
        <v>7.4999999999999997E-2</v>
      </c>
      <c r="H10" s="50">
        <v>8.5546997470333563E-2</v>
      </c>
      <c r="I10" s="50">
        <v>0.10001472303820647</v>
      </c>
      <c r="J10" s="50">
        <v>0.10971770435235073</v>
      </c>
      <c r="K10" s="50">
        <v>0.11208438511970376</v>
      </c>
      <c r="L10" s="50">
        <v>0.10562608162722853</v>
      </c>
      <c r="M10" s="50">
        <v>9.0794563997872335E-2</v>
      </c>
      <c r="N10" s="50">
        <v>7.0260666991849297E-2</v>
      </c>
      <c r="O10" s="50">
        <v>4.8218360404944538E-2</v>
      </c>
      <c r="P10" s="50">
        <v>2.8854234614640095E-2</v>
      </c>
      <c r="Q10" s="50">
        <v>1.4773964924806759E-2</v>
      </c>
      <c r="R10" s="50">
        <v>6.3385343681182649E-3</v>
      </c>
      <c r="S10" s="50">
        <v>2.2268577196306039E-3</v>
      </c>
      <c r="T10" s="50">
        <v>6.2471001963848583E-4</v>
      </c>
      <c r="U10" s="50">
        <v>1.3615841889635938E-4</v>
      </c>
      <c r="V10" s="50">
        <v>2.2380636622298944E-5</v>
      </c>
      <c r="W10" s="50">
        <v>2.68643837586513E-6</v>
      </c>
      <c r="X10" s="55"/>
      <c r="Y10" s="31">
        <f t="shared" si="0"/>
        <v>1.0106484038909742</v>
      </c>
      <c r="Z10" s="31"/>
    </row>
    <row r="11" spans="1:29">
      <c r="C11" s="108" t="s">
        <v>502</v>
      </c>
      <c r="D11" s="50">
        <v>2.5643970768378654E-3</v>
      </c>
      <c r="E11" s="50">
        <v>5.1260615529385989E-3</v>
      </c>
      <c r="F11" s="50">
        <v>9.1015544176433795E-3</v>
      </c>
      <c r="G11" s="50">
        <v>1.4804925730045659E-2</v>
      </c>
      <c r="H11" s="50">
        <v>2.2471809420486211E-2</v>
      </c>
      <c r="I11" s="50">
        <v>3.2184432813882391E-2</v>
      </c>
      <c r="J11" s="50">
        <v>4.3779667172004086E-2</v>
      </c>
      <c r="K11" s="50">
        <v>5.675426075474499E-2</v>
      </c>
      <c r="L11" s="50">
        <v>7.0195239068707532E-2</v>
      </c>
      <c r="M11" s="50">
        <v>8.2776861842756788E-2</v>
      </c>
      <c r="N11" s="50">
        <v>9.2870259507494834E-2</v>
      </c>
      <c r="O11" s="50">
        <v>9.8796470678915727E-2</v>
      </c>
      <c r="P11" s="50">
        <v>9.9208932889988999E-2</v>
      </c>
      <c r="Q11" s="50">
        <v>9.3521150494244254E-2</v>
      </c>
      <c r="R11" s="50">
        <v>8.2226007896862296E-2</v>
      </c>
      <c r="S11" s="50">
        <v>6.6933566027365665E-2</v>
      </c>
      <c r="T11" s="50">
        <v>5.0029565143448806E-2</v>
      </c>
      <c r="U11" s="50">
        <v>3.402486521893211E-2</v>
      </c>
      <c r="V11" s="50">
        <v>2.0846059340774659E-2</v>
      </c>
      <c r="W11" s="50">
        <v>0.01</v>
      </c>
      <c r="X11" s="55"/>
      <c r="Y11" s="31">
        <f t="shared" si="0"/>
        <v>0.98821608704807484</v>
      </c>
      <c r="Z11" s="31"/>
    </row>
    <row r="12" spans="1:29">
      <c r="C12" s="109" t="s">
        <v>483</v>
      </c>
      <c r="D12" s="50">
        <v>0.45</v>
      </c>
      <c r="E12" s="50">
        <v>0.21</v>
      </c>
      <c r="F12" s="50">
        <v>0.14000000000000001</v>
      </c>
      <c r="G12" s="50">
        <v>0.09</v>
      </c>
      <c r="H12" s="50">
        <v>5.9540362609726505E-2</v>
      </c>
      <c r="I12" s="50">
        <v>2.9770181304863419E-2</v>
      </c>
      <c r="J12" s="50">
        <v>1.3231191691050248E-2</v>
      </c>
      <c r="K12" s="50">
        <v>5.2924766764202991E-3</v>
      </c>
      <c r="L12" s="50">
        <v>1.9245369732436846E-3</v>
      </c>
      <c r="M12" s="50">
        <v>6.415123244144505E-4</v>
      </c>
      <c r="N12" s="50">
        <v>1.9738840751215569E-4</v>
      </c>
      <c r="O12" s="50">
        <v>5.6396687860615913E-5</v>
      </c>
      <c r="P12" s="50">
        <v>1.5039116763038152E-5</v>
      </c>
      <c r="Q12" s="50">
        <v>3.7597791905374933E-6</v>
      </c>
      <c r="R12" s="50">
        <v>8.8465392733549919E-7</v>
      </c>
      <c r="S12" s="50">
        <v>1.9658976146974538E-7</v>
      </c>
      <c r="T12" s="50">
        <v>4.13873183502389E-8</v>
      </c>
      <c r="U12" s="50">
        <v>8.2774636034343985E-9</v>
      </c>
      <c r="V12" s="50">
        <v>1.5766598027155965E-9</v>
      </c>
      <c r="W12" s="50">
        <v>2.8666535811794347E-10</v>
      </c>
      <c r="X12" s="50"/>
      <c r="Y12" s="31">
        <f t="shared" si="0"/>
        <v>1.0006739783428409</v>
      </c>
      <c r="Z12" s="31"/>
    </row>
    <row r="13" spans="1:29">
      <c r="C13" s="109" t="s">
        <v>484</v>
      </c>
      <c r="D13" s="50">
        <v>0.22119921692859512</v>
      </c>
      <c r="E13" s="112">
        <v>0.15504311102289431</v>
      </c>
      <c r="F13" s="50">
        <v>0.10733128557729499</v>
      </c>
      <c r="G13" s="50">
        <v>8.3589689255657879E-2</v>
      </c>
      <c r="H13" s="50">
        <v>7.3237179880126971E-2</v>
      </c>
      <c r="I13" s="50">
        <v>6.3374636711760357E-2</v>
      </c>
      <c r="J13" s="50">
        <v>5.4291838367783084E-2</v>
      </c>
      <c r="K13" s="50">
        <v>4.612639225659896E-2</v>
      </c>
      <c r="L13" s="50">
        <v>3.8916876277172864E-2</v>
      </c>
      <c r="M13" s="50">
        <v>3.2639916313151704E-2</v>
      </c>
      <c r="N13" s="50">
        <v>2.7235706125786907E-2</v>
      </c>
      <c r="O13" s="50">
        <v>2.1211189258265428E-2</v>
      </c>
      <c r="P13" s="50">
        <v>1.6519290804212883E-2</v>
      </c>
      <c r="Q13" s="50">
        <v>1.2865236614105324E-2</v>
      </c>
      <c r="R13" s="50">
        <v>1.0019456349464106E-2</v>
      </c>
      <c r="S13" s="50">
        <v>7.8031604509122832E-3</v>
      </c>
      <c r="T13" s="50">
        <v>6.077107469602494E-3</v>
      </c>
      <c r="U13" s="50">
        <v>4.7328560561354371E-3</v>
      </c>
      <c r="V13" s="50">
        <v>3.6859520026825132E-3</v>
      </c>
      <c r="W13" s="50">
        <v>2.8706223060526725E-3</v>
      </c>
      <c r="X13" s="55"/>
      <c r="Y13" s="31">
        <f t="shared" si="0"/>
        <v>0.98877072002825628</v>
      </c>
      <c r="Z13" s="31"/>
      <c r="AC13" t="s">
        <v>104</v>
      </c>
    </row>
    <row r="14" spans="1:29">
      <c r="C14" s="109" t="s">
        <v>485</v>
      </c>
      <c r="D14" s="50">
        <v>0.05</v>
      </c>
      <c r="E14" s="50">
        <v>0.05</v>
      </c>
      <c r="F14" s="50">
        <v>0.05</v>
      </c>
      <c r="G14" s="50">
        <v>0.05</v>
      </c>
      <c r="H14" s="50">
        <v>0.05</v>
      </c>
      <c r="I14" s="50">
        <v>0.05</v>
      </c>
      <c r="J14" s="50">
        <v>0.05</v>
      </c>
      <c r="K14" s="50">
        <v>0.05</v>
      </c>
      <c r="L14" s="50">
        <v>0.05</v>
      </c>
      <c r="M14" s="50">
        <v>0.05</v>
      </c>
      <c r="N14" s="50">
        <v>0.05</v>
      </c>
      <c r="O14" s="50">
        <v>0.05</v>
      </c>
      <c r="P14" s="50">
        <v>0.05</v>
      </c>
      <c r="Q14" s="50">
        <v>0.05</v>
      </c>
      <c r="R14" s="50">
        <v>0.05</v>
      </c>
      <c r="S14" s="50">
        <v>0.05</v>
      </c>
      <c r="T14" s="50">
        <v>0.05</v>
      </c>
      <c r="U14" s="50">
        <v>0.05</v>
      </c>
      <c r="V14" s="50">
        <v>0.05</v>
      </c>
      <c r="W14" s="50">
        <v>0.05</v>
      </c>
      <c r="X14" s="55"/>
      <c r="Y14" s="31">
        <f t="shared" si="0"/>
        <v>1.0000000000000002</v>
      </c>
      <c r="Z14" s="31"/>
    </row>
    <row r="15" spans="1:29">
      <c r="C15" s="109" t="s">
        <v>486</v>
      </c>
      <c r="D15" s="50">
        <v>0.01</v>
      </c>
      <c r="E15" s="50">
        <v>1.9799999999999998E-2</v>
      </c>
      <c r="F15" s="50">
        <v>2.9106E-2</v>
      </c>
      <c r="G15" s="50">
        <v>3.7643759999999998E-2</v>
      </c>
      <c r="H15" s="50">
        <v>4.5172511999999984E-2</v>
      </c>
      <c r="I15" s="72">
        <v>4.8635737920000005E-2</v>
      </c>
      <c r="J15" s="72">
        <v>4.587971277120001E-2</v>
      </c>
      <c r="K15" s="72">
        <v>4.3279862380832007E-2</v>
      </c>
      <c r="L15" s="72">
        <v>4.0827336845918161E-2</v>
      </c>
      <c r="M15" s="72">
        <v>3.8513787757982809E-2</v>
      </c>
      <c r="N15" s="72">
        <v>3.6331339785030448E-2</v>
      </c>
      <c r="O15" s="72">
        <v>3.4272563863878724E-2</v>
      </c>
      <c r="P15" s="72">
        <v>3.2330451911592284E-2</v>
      </c>
      <c r="Q15" s="72">
        <v>3.0498392969935395E-2</v>
      </c>
      <c r="R15" s="72">
        <v>2.8770150701639075E-2</v>
      </c>
      <c r="S15" s="72">
        <v>2.7139842161879479E-2</v>
      </c>
      <c r="T15" s="72">
        <v>2.5601917772706373E-2</v>
      </c>
      <c r="U15" s="72">
        <v>2.4151142432252914E-2</v>
      </c>
      <c r="V15" s="72">
        <v>2.2782577694425266E-2</v>
      </c>
      <c r="W15" s="72">
        <v>2.1491564958407872E-2</v>
      </c>
      <c r="X15" s="55"/>
      <c r="Y15" s="31">
        <f t="shared" si="0"/>
        <v>0.6422286539276808</v>
      </c>
      <c r="Z15" s="31"/>
    </row>
    <row r="16" spans="1:29">
      <c r="C16" s="109" t="s">
        <v>498</v>
      </c>
      <c r="D16" s="112">
        <v>5.5320496977002724E-3</v>
      </c>
      <c r="E16" s="112">
        <v>8.6958686465615706E-3</v>
      </c>
      <c r="F16" s="112">
        <v>1.7391737293123145E-2</v>
      </c>
      <c r="G16" s="112">
        <v>3.0435540262965514E-2</v>
      </c>
      <c r="H16" s="112">
        <v>4.7344173742390784E-2</v>
      </c>
      <c r="I16" s="112">
        <v>6.6281843239347063E-2</v>
      </c>
      <c r="J16" s="112">
        <v>8.4358709577350838E-2</v>
      </c>
      <c r="K16" s="112">
        <v>9.8418494506909315E-2</v>
      </c>
      <c r="L16" s="112">
        <v>0.10598914793051767</v>
      </c>
      <c r="M16" s="112">
        <v>0.10598914793051767</v>
      </c>
      <c r="N16" s="112">
        <v>9.8923204735149928E-2</v>
      </c>
      <c r="O16" s="112">
        <v>8.655780414325609E-2</v>
      </c>
      <c r="P16" s="112">
        <v>7.1282897529740263E-2</v>
      </c>
      <c r="Q16" s="112">
        <v>5.5442253634242489E-2</v>
      </c>
      <c r="R16" s="112">
        <v>4.0852186888389319E-2</v>
      </c>
      <c r="S16" s="112">
        <v>2.8596530821872412E-2</v>
      </c>
      <c r="T16" s="112">
        <v>1.9064353881248275E-2</v>
      </c>
      <c r="U16" s="112">
        <v>1.2131861560794377E-2</v>
      </c>
      <c r="V16" s="112">
        <v>7.3846113848314854E-3</v>
      </c>
      <c r="W16" s="112">
        <v>4.3076899744848296E-3</v>
      </c>
      <c r="X16" s="55"/>
      <c r="Y16" s="31">
        <f t="shared" si="0"/>
        <v>0.99498010738139331</v>
      </c>
      <c r="Z16" s="31"/>
    </row>
    <row r="17" spans="1:27">
      <c r="C17" s="109" t="s">
        <v>558</v>
      </c>
      <c r="D17" s="112">
        <f>H1</f>
        <v>0.5468729734127814</v>
      </c>
      <c r="E17" s="112">
        <f>G1</f>
        <v>0.43749837873022512</v>
      </c>
      <c r="F17" s="112">
        <f>F1</f>
        <v>0.32812378404766884</v>
      </c>
      <c r="G17" s="112">
        <f>E1</f>
        <v>0.21874918936511256</v>
      </c>
      <c r="H17" s="112">
        <f>D1</f>
        <v>0.10937459468255628</v>
      </c>
      <c r="I17" s="112">
        <v>0</v>
      </c>
      <c r="J17" s="112">
        <v>0</v>
      </c>
      <c r="K17" s="112">
        <v>0</v>
      </c>
      <c r="L17" s="112">
        <v>0</v>
      </c>
      <c r="M17" s="112">
        <v>0</v>
      </c>
      <c r="N17" s="112">
        <v>0</v>
      </c>
      <c r="O17" s="112">
        <v>0</v>
      </c>
      <c r="P17" s="112">
        <v>0</v>
      </c>
      <c r="Q17" s="112">
        <v>0</v>
      </c>
      <c r="R17" s="112">
        <v>0</v>
      </c>
      <c r="S17" s="112">
        <v>0</v>
      </c>
      <c r="T17" s="112">
        <v>0</v>
      </c>
      <c r="U17" s="112">
        <v>0</v>
      </c>
      <c r="V17" s="112">
        <v>0</v>
      </c>
      <c r="W17" s="112">
        <v>0</v>
      </c>
      <c r="X17" s="55"/>
      <c r="Y17" s="31"/>
      <c r="Z17" s="31"/>
    </row>
    <row r="18" spans="1:27">
      <c r="A18" s="2"/>
      <c r="B18" s="2"/>
      <c r="C18" s="2"/>
      <c r="D18" s="2"/>
      <c r="E18" s="2"/>
      <c r="F18" s="2"/>
      <c r="G18" s="2"/>
      <c r="H18" s="2"/>
      <c r="I18" s="2"/>
      <c r="J18" s="2"/>
      <c r="K18" s="2"/>
      <c r="L18" s="2"/>
      <c r="M18" s="2"/>
      <c r="N18" s="2"/>
      <c r="O18" s="2"/>
      <c r="P18" s="2"/>
      <c r="Q18" s="2"/>
      <c r="R18" s="2"/>
      <c r="S18" s="2"/>
      <c r="T18" s="2"/>
      <c r="U18" s="2"/>
      <c r="V18" s="2"/>
      <c r="W18" s="2"/>
      <c r="X18" s="2"/>
      <c r="Y18" s="2"/>
    </row>
    <row r="19" spans="1:27">
      <c r="A19" s="2" t="s">
        <v>56</v>
      </c>
      <c r="B19" s="2" t="s">
        <v>81</v>
      </c>
      <c r="C19" s="2" t="s">
        <v>113</v>
      </c>
      <c r="D19" s="2">
        <v>2016</v>
      </c>
      <c r="E19" s="2">
        <v>2017</v>
      </c>
      <c r="F19" s="2">
        <v>2018</v>
      </c>
      <c r="G19" s="2">
        <v>2019</v>
      </c>
      <c r="H19" s="2">
        <v>2020</v>
      </c>
      <c r="I19" s="2">
        <v>2021</v>
      </c>
      <c r="J19" s="2">
        <v>2022</v>
      </c>
      <c r="K19" s="2">
        <v>2023</v>
      </c>
      <c r="L19" s="2">
        <v>2024</v>
      </c>
      <c r="M19" s="2">
        <v>2025</v>
      </c>
      <c r="N19" s="2">
        <v>2026</v>
      </c>
      <c r="O19" s="2">
        <v>2027</v>
      </c>
      <c r="P19" s="2">
        <v>2028</v>
      </c>
      <c r="Q19" s="2">
        <v>2029</v>
      </c>
      <c r="R19" s="2">
        <v>2030</v>
      </c>
      <c r="S19" s="2">
        <v>2031</v>
      </c>
      <c r="T19" s="2">
        <v>2032</v>
      </c>
      <c r="U19" s="2">
        <v>2033</v>
      </c>
      <c r="V19" s="2">
        <v>2034</v>
      </c>
      <c r="W19" s="2">
        <v>2035</v>
      </c>
      <c r="X19" s="2"/>
      <c r="Y19" s="2"/>
      <c r="AA19" s="42" t="s">
        <v>29</v>
      </c>
    </row>
    <row r="20" spans="1:27">
      <c r="A20" t="str">
        <f>MLIST!A9</f>
        <v>Lighting</v>
      </c>
      <c r="B20" t="str">
        <f>MLIST!D9</f>
        <v>Lighting - New</v>
      </c>
      <c r="C20" t="s">
        <v>489</v>
      </c>
      <c r="D20" s="30">
        <f>IF(ISBLANK($C20),"",VLOOKUP($C20,$C$1:$X$17,D$19-$D$19+2,FALSE))</f>
        <v>0.22119921692859512</v>
      </c>
      <c r="E20" s="30">
        <f t="shared" ref="E20:T35" si="1">IF(ISBLANK($C20),"",VLOOKUP($C20,$C$1:$X$17,E$19-$D$19+2,FALSE))</f>
        <v>0.37624232795148943</v>
      </c>
      <c r="F20" s="30">
        <f t="shared" si="1"/>
        <v>0.48357361352878442</v>
      </c>
      <c r="G20" s="30">
        <f t="shared" si="1"/>
        <v>0.56716330278444227</v>
      </c>
      <c r="H20" s="30">
        <f t="shared" si="1"/>
        <v>0.64040048266456928</v>
      </c>
      <c r="I20" s="30">
        <f t="shared" si="1"/>
        <v>0.70377511937632964</v>
      </c>
      <c r="J20" s="30">
        <f t="shared" si="1"/>
        <v>0.7580669577441127</v>
      </c>
      <c r="K20" s="30">
        <f t="shared" si="1"/>
        <v>0.80419335000071168</v>
      </c>
      <c r="L20" s="30">
        <f t="shared" si="1"/>
        <v>0.84311022627788457</v>
      </c>
      <c r="M20" s="30">
        <f t="shared" si="1"/>
        <v>0.87575014259103623</v>
      </c>
      <c r="N20" s="30">
        <f t="shared" si="1"/>
        <v>0.90298584871682319</v>
      </c>
      <c r="O20" s="30">
        <f t="shared" si="1"/>
        <v>0.92419703797508856</v>
      </c>
      <c r="P20" s="30">
        <f t="shared" si="1"/>
        <v>0.94071632877930145</v>
      </c>
      <c r="Q20" s="30">
        <f t="shared" si="1"/>
        <v>0.95358156539340677</v>
      </c>
      <c r="R20" s="30">
        <f t="shared" si="1"/>
        <v>0.96360102174287088</v>
      </c>
      <c r="S20" s="30">
        <f t="shared" si="1"/>
        <v>0.97140418219378311</v>
      </c>
      <c r="T20" s="30">
        <f t="shared" si="1"/>
        <v>0.97748128966338554</v>
      </c>
      <c r="U20" s="30">
        <f t="shared" ref="U20:W39" si="2">IF(ISBLANK($C20),"",VLOOKUP($C20,$C$1:$X$17,U$19-$D$19+2,FALSE))</f>
        <v>0.98221414571952104</v>
      </c>
      <c r="V20" s="30">
        <f t="shared" si="2"/>
        <v>0.98590009772220355</v>
      </c>
      <c r="W20" s="30">
        <f t="shared" si="2"/>
        <v>0.98877072002825628</v>
      </c>
      <c r="X20" s="30"/>
      <c r="Z20" s="30" t="b">
        <f>IF(IF(OR(RIGHT(B20,2)="NR",RIGHT(B20,2)="ew"),"LO","Retro")=LEFT(C20,2),TRUE,FALSE)</f>
        <v>1</v>
      </c>
    </row>
    <row r="21" spans="1:27">
      <c r="A21" t="str">
        <f>MLIST!A10</f>
        <v>Lighting</v>
      </c>
      <c r="B21" t="str">
        <f>MLIST!D10</f>
        <v>Lighting - NR</v>
      </c>
      <c r="C21" t="s">
        <v>489</v>
      </c>
      <c r="D21" s="30">
        <f t="shared" ref="D21:S36" si="3">IF(ISBLANK($C21),"",VLOOKUP($C21,$C$1:$X$17,D$19-$D$19+2,FALSE))</f>
        <v>0.22119921692859512</v>
      </c>
      <c r="E21" s="30">
        <f t="shared" si="1"/>
        <v>0.37624232795148943</v>
      </c>
      <c r="F21" s="30">
        <f t="shared" si="1"/>
        <v>0.48357361352878442</v>
      </c>
      <c r="G21" s="30">
        <f t="shared" si="1"/>
        <v>0.56716330278444227</v>
      </c>
      <c r="H21" s="30">
        <f t="shared" si="1"/>
        <v>0.64040048266456928</v>
      </c>
      <c r="I21" s="30">
        <f t="shared" si="1"/>
        <v>0.70377511937632964</v>
      </c>
      <c r="J21" s="30">
        <f t="shared" si="1"/>
        <v>0.7580669577441127</v>
      </c>
      <c r="K21" s="30">
        <f t="shared" si="1"/>
        <v>0.80419335000071168</v>
      </c>
      <c r="L21" s="30">
        <f t="shared" si="1"/>
        <v>0.84311022627788457</v>
      </c>
      <c r="M21" s="30">
        <f t="shared" si="1"/>
        <v>0.87575014259103623</v>
      </c>
      <c r="N21" s="30">
        <f t="shared" si="1"/>
        <v>0.90298584871682319</v>
      </c>
      <c r="O21" s="30">
        <f t="shared" si="1"/>
        <v>0.92419703797508856</v>
      </c>
      <c r="P21" s="30">
        <f t="shared" si="1"/>
        <v>0.94071632877930145</v>
      </c>
      <c r="Q21" s="30">
        <f t="shared" si="1"/>
        <v>0.95358156539340677</v>
      </c>
      <c r="R21" s="30">
        <f t="shared" si="1"/>
        <v>0.96360102174287088</v>
      </c>
      <c r="S21" s="30">
        <f t="shared" si="1"/>
        <v>0.97140418219378311</v>
      </c>
      <c r="T21" s="30">
        <f t="shared" si="1"/>
        <v>0.97748128966338554</v>
      </c>
      <c r="U21" s="30">
        <f t="shared" si="2"/>
        <v>0.98221414571952104</v>
      </c>
      <c r="V21" s="30">
        <f t="shared" si="2"/>
        <v>0.98590009772220355</v>
      </c>
      <c r="W21" s="30">
        <f t="shared" si="2"/>
        <v>0.98877072002825628</v>
      </c>
      <c r="X21" s="30"/>
      <c r="Z21" s="30" t="b">
        <f>IF(IF(OR(RIGHT(B21,2)="NR",RIGHT(B21,2)="ew"),"LO","Re")=LEFT(C21,2),TRUE,FALSE)</f>
        <v>1</v>
      </c>
    </row>
    <row r="22" spans="1:27">
      <c r="A22" t="str">
        <f>MLIST!A11</f>
        <v>Lighting</v>
      </c>
      <c r="B22" t="str">
        <f>MLIST!D11</f>
        <v>Lighting - PPA</v>
      </c>
      <c r="C22" s="8" t="s">
        <v>484</v>
      </c>
      <c r="D22" s="30">
        <f t="shared" si="3"/>
        <v>0.22119921692859512</v>
      </c>
      <c r="E22" s="30">
        <f t="shared" si="1"/>
        <v>0.15504311102289431</v>
      </c>
      <c r="F22" s="30">
        <f t="shared" si="1"/>
        <v>0.10733128557729499</v>
      </c>
      <c r="G22" s="30">
        <f t="shared" si="1"/>
        <v>8.3589689255657879E-2</v>
      </c>
      <c r="H22" s="30">
        <f t="shared" si="1"/>
        <v>7.3237179880126971E-2</v>
      </c>
      <c r="I22" s="30">
        <f t="shared" si="1"/>
        <v>6.3374636711760357E-2</v>
      </c>
      <c r="J22" s="30">
        <f t="shared" si="1"/>
        <v>5.4291838367783084E-2</v>
      </c>
      <c r="K22" s="30">
        <f t="shared" si="1"/>
        <v>4.612639225659896E-2</v>
      </c>
      <c r="L22" s="30">
        <f t="shared" si="1"/>
        <v>3.8916876277172864E-2</v>
      </c>
      <c r="M22" s="30">
        <f t="shared" si="1"/>
        <v>3.2639916313151704E-2</v>
      </c>
      <c r="N22" s="30">
        <f t="shared" si="1"/>
        <v>2.7235706125786907E-2</v>
      </c>
      <c r="O22" s="30">
        <f t="shared" si="1"/>
        <v>2.1211189258265428E-2</v>
      </c>
      <c r="P22" s="30">
        <f t="shared" si="1"/>
        <v>1.6519290804212883E-2</v>
      </c>
      <c r="Q22" s="30">
        <f t="shared" si="1"/>
        <v>1.2865236614105324E-2</v>
      </c>
      <c r="R22" s="30">
        <f t="shared" si="1"/>
        <v>1.0019456349464106E-2</v>
      </c>
      <c r="S22" s="30">
        <f t="shared" si="1"/>
        <v>7.8031604509122832E-3</v>
      </c>
      <c r="T22" s="30">
        <f t="shared" si="1"/>
        <v>6.077107469602494E-3</v>
      </c>
      <c r="U22" s="30">
        <f t="shared" si="2"/>
        <v>4.7328560561354371E-3</v>
      </c>
      <c r="V22" s="30">
        <f t="shared" si="2"/>
        <v>3.6859520026825132E-3</v>
      </c>
      <c r="W22" s="30">
        <f t="shared" si="2"/>
        <v>2.8706223060526725E-3</v>
      </c>
      <c r="X22" s="30"/>
      <c r="Z22" s="30" t="b">
        <f t="shared" ref="Z22:Z85" si="4">IF(IF(OR(RIGHT(B22,2)="NR",RIGHT(B22,2)="ew"),"LO","Re")=LEFT(C22,2),TRUE,FALSE)</f>
        <v>1</v>
      </c>
    </row>
    <row r="23" spans="1:27">
      <c r="A23" t="s">
        <v>559</v>
      </c>
      <c r="B23" t="s">
        <v>559</v>
      </c>
      <c r="C23" s="8" t="s">
        <v>558</v>
      </c>
      <c r="D23" s="30">
        <f t="shared" si="3"/>
        <v>0.5468729734127814</v>
      </c>
      <c r="E23" s="30">
        <f t="shared" si="1"/>
        <v>0.43749837873022512</v>
      </c>
      <c r="F23" s="30">
        <f t="shared" si="1"/>
        <v>0.32812378404766884</v>
      </c>
      <c r="G23" s="30">
        <f t="shared" si="1"/>
        <v>0.21874918936511256</v>
      </c>
      <c r="H23" s="30">
        <f t="shared" si="1"/>
        <v>0.10937459468255628</v>
      </c>
      <c r="I23" s="30">
        <f t="shared" si="1"/>
        <v>0</v>
      </c>
      <c r="J23" s="30">
        <f t="shared" si="1"/>
        <v>0</v>
      </c>
      <c r="K23" s="30">
        <f t="shared" si="1"/>
        <v>0</v>
      </c>
      <c r="L23" s="30">
        <f t="shared" si="1"/>
        <v>0</v>
      </c>
      <c r="M23" s="30">
        <f t="shared" si="1"/>
        <v>0</v>
      </c>
      <c r="N23" s="30">
        <f t="shared" si="1"/>
        <v>0</v>
      </c>
      <c r="O23" s="30">
        <f t="shared" si="1"/>
        <v>0</v>
      </c>
      <c r="P23" s="30">
        <f t="shared" si="1"/>
        <v>0</v>
      </c>
      <c r="Q23" s="30">
        <f t="shared" si="1"/>
        <v>0</v>
      </c>
      <c r="R23" s="30">
        <f t="shared" si="1"/>
        <v>0</v>
      </c>
      <c r="S23" s="30">
        <f t="shared" si="1"/>
        <v>0</v>
      </c>
      <c r="T23" s="30">
        <f t="shared" si="1"/>
        <v>0</v>
      </c>
      <c r="U23" s="30">
        <f t="shared" si="2"/>
        <v>0</v>
      </c>
      <c r="V23" s="30">
        <f t="shared" si="2"/>
        <v>0</v>
      </c>
      <c r="W23" s="30">
        <f t="shared" si="2"/>
        <v>0</v>
      </c>
      <c r="X23" s="30"/>
      <c r="Z23" s="30"/>
    </row>
    <row r="24" spans="1:27">
      <c r="A24" t="str">
        <f>MLIST!A12</f>
        <v>Water Heating</v>
      </c>
      <c r="B24" t="str">
        <f>MLIST!D12</f>
        <v>Dishwasher - New</v>
      </c>
      <c r="C24" t="s">
        <v>487</v>
      </c>
      <c r="D24" s="30">
        <f t="shared" si="3"/>
        <v>0.10937459468255628</v>
      </c>
      <c r="E24" s="30">
        <f t="shared" si="1"/>
        <v>0.21874918936511256</v>
      </c>
      <c r="F24" s="30">
        <f t="shared" si="1"/>
        <v>0.32812378404766884</v>
      </c>
      <c r="G24" s="30">
        <f t="shared" si="1"/>
        <v>0.43749837873022512</v>
      </c>
      <c r="H24" s="30">
        <f t="shared" si="1"/>
        <v>0.5468729734127814</v>
      </c>
      <c r="I24" s="30">
        <f t="shared" si="1"/>
        <v>0.64531010862708205</v>
      </c>
      <c r="J24" s="30">
        <f t="shared" si="1"/>
        <v>0.7240598167985226</v>
      </c>
      <c r="K24" s="30">
        <f t="shared" si="1"/>
        <v>0.78705958333567505</v>
      </c>
      <c r="L24" s="30">
        <f t="shared" si="1"/>
        <v>0.83745939656539703</v>
      </c>
      <c r="M24" s="30">
        <f t="shared" si="1"/>
        <v>0.87777924714917455</v>
      </c>
      <c r="N24" s="30">
        <f t="shared" si="1"/>
        <v>0.91003512761619654</v>
      </c>
      <c r="O24" s="30">
        <f t="shared" si="1"/>
        <v>0.93583983198981413</v>
      </c>
      <c r="P24" s="30">
        <f t="shared" si="1"/>
        <v>0.9564835954887082</v>
      </c>
      <c r="Q24" s="30">
        <f t="shared" si="1"/>
        <v>0.97299860628782353</v>
      </c>
      <c r="R24" s="30">
        <f t="shared" si="1"/>
        <v>0.9862106149271157</v>
      </c>
      <c r="S24" s="30">
        <f t="shared" si="1"/>
        <v>0.99678022183854953</v>
      </c>
      <c r="T24" s="30">
        <f t="shared" si="1"/>
        <v>0.99685231466234414</v>
      </c>
      <c r="U24" s="30">
        <f t="shared" si="2"/>
        <v>0.99687806209941365</v>
      </c>
      <c r="V24" s="30">
        <f t="shared" si="2"/>
        <v>0.99688683963477831</v>
      </c>
      <c r="W24" s="30">
        <f t="shared" si="2"/>
        <v>0.99688970187457115</v>
      </c>
      <c r="X24" s="30"/>
      <c r="Z24" s="30" t="b">
        <f t="shared" si="4"/>
        <v>1</v>
      </c>
    </row>
    <row r="25" spans="1:27">
      <c r="A25" t="str">
        <f>MLIST!A13</f>
        <v>Water Heating</v>
      </c>
      <c r="B25" t="str">
        <f>MLIST!D13</f>
        <v>Dishwasher - NR</v>
      </c>
      <c r="C25" t="s">
        <v>487</v>
      </c>
      <c r="D25" s="30">
        <f t="shared" si="3"/>
        <v>0.10937459468255628</v>
      </c>
      <c r="E25" s="30">
        <f t="shared" si="1"/>
        <v>0.21874918936511256</v>
      </c>
      <c r="F25" s="30">
        <f t="shared" si="1"/>
        <v>0.32812378404766884</v>
      </c>
      <c r="G25" s="30">
        <f t="shared" si="1"/>
        <v>0.43749837873022512</v>
      </c>
      <c r="H25" s="30">
        <f t="shared" si="1"/>
        <v>0.5468729734127814</v>
      </c>
      <c r="I25" s="30">
        <f t="shared" si="1"/>
        <v>0.64531010862708205</v>
      </c>
      <c r="J25" s="30">
        <f t="shared" si="1"/>
        <v>0.7240598167985226</v>
      </c>
      <c r="K25" s="30">
        <f t="shared" si="1"/>
        <v>0.78705958333567505</v>
      </c>
      <c r="L25" s="30">
        <f t="shared" si="1"/>
        <v>0.83745939656539703</v>
      </c>
      <c r="M25" s="30">
        <f t="shared" si="1"/>
        <v>0.87777924714917455</v>
      </c>
      <c r="N25" s="30">
        <f t="shared" si="1"/>
        <v>0.91003512761619654</v>
      </c>
      <c r="O25" s="30">
        <f t="shared" si="1"/>
        <v>0.93583983198981413</v>
      </c>
      <c r="P25" s="30">
        <f t="shared" si="1"/>
        <v>0.9564835954887082</v>
      </c>
      <c r="Q25" s="30">
        <f t="shared" si="1"/>
        <v>0.97299860628782353</v>
      </c>
      <c r="R25" s="30">
        <f t="shared" si="1"/>
        <v>0.9862106149271157</v>
      </c>
      <c r="S25" s="30">
        <f t="shared" si="1"/>
        <v>0.99678022183854953</v>
      </c>
      <c r="T25" s="30">
        <f t="shared" si="1"/>
        <v>0.99685231466234414</v>
      </c>
      <c r="U25" s="30">
        <f t="shared" si="2"/>
        <v>0.99687806209941365</v>
      </c>
      <c r="V25" s="30">
        <f t="shared" si="2"/>
        <v>0.99688683963477831</v>
      </c>
      <c r="W25" s="30">
        <f t="shared" si="2"/>
        <v>0.99688970187457115</v>
      </c>
      <c r="X25" s="30"/>
      <c r="Z25" s="30" t="b">
        <f t="shared" si="4"/>
        <v>1</v>
      </c>
    </row>
    <row r="26" spans="1:27">
      <c r="A26" t="str">
        <f>MLIST!A14</f>
        <v>Water Heating</v>
      </c>
      <c r="B26" t="str">
        <f>MLIST!D14</f>
        <v>Clothes Washer - New</v>
      </c>
      <c r="C26" t="s">
        <v>487</v>
      </c>
      <c r="D26" s="30">
        <f t="shared" si="3"/>
        <v>0.10937459468255628</v>
      </c>
      <c r="E26" s="30">
        <f t="shared" si="1"/>
        <v>0.21874918936511256</v>
      </c>
      <c r="F26" s="30">
        <f t="shared" si="1"/>
        <v>0.32812378404766884</v>
      </c>
      <c r="G26" s="30">
        <f t="shared" si="1"/>
        <v>0.43749837873022512</v>
      </c>
      <c r="H26" s="30">
        <f t="shared" si="1"/>
        <v>0.5468729734127814</v>
      </c>
      <c r="I26" s="30">
        <f t="shared" si="1"/>
        <v>0.64531010862708205</v>
      </c>
      <c r="J26" s="30">
        <f t="shared" si="1"/>
        <v>0.7240598167985226</v>
      </c>
      <c r="K26" s="30">
        <f t="shared" si="1"/>
        <v>0.78705958333567505</v>
      </c>
      <c r="L26" s="30">
        <f t="shared" si="1"/>
        <v>0.83745939656539703</v>
      </c>
      <c r="M26" s="30">
        <f t="shared" si="1"/>
        <v>0.87777924714917455</v>
      </c>
      <c r="N26" s="30">
        <f t="shared" si="1"/>
        <v>0.91003512761619654</v>
      </c>
      <c r="O26" s="30">
        <f t="shared" si="1"/>
        <v>0.93583983198981413</v>
      </c>
      <c r="P26" s="30">
        <f t="shared" si="1"/>
        <v>0.9564835954887082</v>
      </c>
      <c r="Q26" s="30">
        <f t="shared" si="1"/>
        <v>0.97299860628782353</v>
      </c>
      <c r="R26" s="30">
        <f t="shared" si="1"/>
        <v>0.9862106149271157</v>
      </c>
      <c r="S26" s="30">
        <f t="shared" si="1"/>
        <v>0.99678022183854953</v>
      </c>
      <c r="T26" s="30">
        <f t="shared" si="1"/>
        <v>0.99685231466234414</v>
      </c>
      <c r="U26" s="30">
        <f t="shared" si="2"/>
        <v>0.99687806209941365</v>
      </c>
      <c r="V26" s="30">
        <f t="shared" si="2"/>
        <v>0.99688683963477831</v>
      </c>
      <c r="W26" s="30">
        <f t="shared" si="2"/>
        <v>0.99688970187457115</v>
      </c>
      <c r="X26" s="30"/>
      <c r="Z26" s="30" t="b">
        <f t="shared" si="4"/>
        <v>1</v>
      </c>
    </row>
    <row r="27" spans="1:27">
      <c r="A27" t="str">
        <f>MLIST!A15</f>
        <v>Water Heating</v>
      </c>
      <c r="B27" t="str">
        <f>MLIST!D15</f>
        <v>Clothes Washer - NR</v>
      </c>
      <c r="C27" t="s">
        <v>487</v>
      </c>
      <c r="D27" s="30">
        <f t="shared" si="3"/>
        <v>0.10937459468255628</v>
      </c>
      <c r="E27" s="30">
        <f t="shared" si="1"/>
        <v>0.21874918936511256</v>
      </c>
      <c r="F27" s="30">
        <f t="shared" si="1"/>
        <v>0.32812378404766884</v>
      </c>
      <c r="G27" s="30">
        <f t="shared" si="1"/>
        <v>0.43749837873022512</v>
      </c>
      <c r="H27" s="30">
        <f t="shared" si="1"/>
        <v>0.5468729734127814</v>
      </c>
      <c r="I27" s="30">
        <f t="shared" si="1"/>
        <v>0.64531010862708205</v>
      </c>
      <c r="J27" s="30">
        <f t="shared" si="1"/>
        <v>0.7240598167985226</v>
      </c>
      <c r="K27" s="30">
        <f t="shared" si="1"/>
        <v>0.78705958333567505</v>
      </c>
      <c r="L27" s="30">
        <f t="shared" si="1"/>
        <v>0.83745939656539703</v>
      </c>
      <c r="M27" s="30">
        <f t="shared" si="1"/>
        <v>0.87777924714917455</v>
      </c>
      <c r="N27" s="30">
        <f t="shared" si="1"/>
        <v>0.91003512761619654</v>
      </c>
      <c r="O27" s="30">
        <f t="shared" si="1"/>
        <v>0.93583983198981413</v>
      </c>
      <c r="P27" s="30">
        <f t="shared" si="1"/>
        <v>0.9564835954887082</v>
      </c>
      <c r="Q27" s="30">
        <f t="shared" si="1"/>
        <v>0.97299860628782353</v>
      </c>
      <c r="R27" s="30">
        <f t="shared" si="1"/>
        <v>0.9862106149271157</v>
      </c>
      <c r="S27" s="30">
        <f t="shared" si="1"/>
        <v>0.99678022183854953</v>
      </c>
      <c r="T27" s="30">
        <f t="shared" si="1"/>
        <v>0.99685231466234414</v>
      </c>
      <c r="U27" s="30">
        <f t="shared" si="2"/>
        <v>0.99687806209941365</v>
      </c>
      <c r="V27" s="30">
        <f t="shared" si="2"/>
        <v>0.99688683963477831</v>
      </c>
      <c r="W27" s="30">
        <f t="shared" si="2"/>
        <v>0.99688970187457115</v>
      </c>
      <c r="X27" s="30"/>
      <c r="Z27" s="30" t="b">
        <f t="shared" si="4"/>
        <v>1</v>
      </c>
    </row>
    <row r="28" spans="1:27">
      <c r="A28" t="str">
        <f>MLIST!A16</f>
        <v>Water Heating</v>
      </c>
      <c r="B28" t="str">
        <f>MLIST!D16</f>
        <v>WasteWater Heat Recovery - New</v>
      </c>
      <c r="C28" t="s">
        <v>501</v>
      </c>
      <c r="D28" s="30">
        <f t="shared" si="3"/>
        <v>2.5643970768378654E-3</v>
      </c>
      <c r="E28" s="30">
        <f t="shared" si="1"/>
        <v>7.6904586297764643E-3</v>
      </c>
      <c r="F28" s="30">
        <f t="shared" si="1"/>
        <v>1.6792013047419844E-2</v>
      </c>
      <c r="G28" s="30">
        <f t="shared" si="1"/>
        <v>3.15969387774655E-2</v>
      </c>
      <c r="H28" s="30">
        <f t="shared" si="1"/>
        <v>5.406874819795171E-2</v>
      </c>
      <c r="I28" s="30">
        <f t="shared" si="1"/>
        <v>8.6253181011834101E-2</v>
      </c>
      <c r="J28" s="30">
        <f t="shared" si="1"/>
        <v>0.1300328481838382</v>
      </c>
      <c r="K28" s="30">
        <f t="shared" si="1"/>
        <v>0.18678710893858319</v>
      </c>
      <c r="L28" s="30">
        <f t="shared" si="1"/>
        <v>0.2569823480072907</v>
      </c>
      <c r="M28" s="30">
        <f t="shared" si="1"/>
        <v>0.33975920985004748</v>
      </c>
      <c r="N28" s="30">
        <f t="shared" si="1"/>
        <v>0.43262946935754232</v>
      </c>
      <c r="O28" s="30">
        <f t="shared" si="1"/>
        <v>0.53142594003645804</v>
      </c>
      <c r="P28" s="30">
        <f t="shared" si="1"/>
        <v>0.63063487292644704</v>
      </c>
      <c r="Q28" s="30">
        <f t="shared" si="1"/>
        <v>0.7241560234206913</v>
      </c>
      <c r="R28" s="30">
        <f t="shared" si="1"/>
        <v>0.80638203131755359</v>
      </c>
      <c r="S28" s="30">
        <f t="shared" si="1"/>
        <v>0.87331559734491926</v>
      </c>
      <c r="T28" s="30">
        <f t="shared" si="1"/>
        <v>0.92334516248836807</v>
      </c>
      <c r="U28" s="30">
        <f t="shared" si="2"/>
        <v>0.95737002770730018</v>
      </c>
      <c r="V28" s="30">
        <f t="shared" si="2"/>
        <v>0.97821608704807483</v>
      </c>
      <c r="W28" s="30">
        <f t="shared" si="2"/>
        <v>0.98821608704807484</v>
      </c>
      <c r="X28" s="30"/>
      <c r="Z28" s="30" t="b">
        <f t="shared" si="4"/>
        <v>1</v>
      </c>
    </row>
    <row r="29" spans="1:27">
      <c r="A29" t="str">
        <f>MLIST!A17</f>
        <v>Water Heating</v>
      </c>
      <c r="B29" t="str">
        <f>MLIST!D17</f>
        <v>Showerheads - New</v>
      </c>
      <c r="C29" t="s">
        <v>557</v>
      </c>
      <c r="D29" s="30">
        <f t="shared" si="3"/>
        <v>0.10937459468255628</v>
      </c>
      <c r="E29" s="30">
        <f t="shared" si="1"/>
        <v>0.21874918936511256</v>
      </c>
      <c r="F29" s="30">
        <f t="shared" si="1"/>
        <v>0.32812378404766884</v>
      </c>
      <c r="G29" s="30">
        <f t="shared" si="1"/>
        <v>0.43749837873022512</v>
      </c>
      <c r="H29" s="30">
        <f t="shared" si="1"/>
        <v>0.5468729734127814</v>
      </c>
      <c r="I29" s="30">
        <f t="shared" si="1"/>
        <v>0.64531010862708205</v>
      </c>
      <c r="J29" s="30">
        <f t="shared" si="1"/>
        <v>0.7240598167985226</v>
      </c>
      <c r="K29" s="30">
        <f t="shared" si="1"/>
        <v>0.78705958333567505</v>
      </c>
      <c r="L29" s="30">
        <f t="shared" si="1"/>
        <v>0.83745939656539703</v>
      </c>
      <c r="M29" s="30">
        <f t="shared" si="1"/>
        <v>0.87777924714917455</v>
      </c>
      <c r="N29" s="30">
        <f t="shared" si="1"/>
        <v>0.91003512761619654</v>
      </c>
      <c r="O29" s="30">
        <f t="shared" si="1"/>
        <v>0.93583983198981413</v>
      </c>
      <c r="P29" s="30">
        <f t="shared" si="1"/>
        <v>0.9564835954887082</v>
      </c>
      <c r="Q29" s="30">
        <f t="shared" si="1"/>
        <v>0.97299860628782353</v>
      </c>
      <c r="R29" s="30">
        <f t="shared" si="1"/>
        <v>0.9862106149271157</v>
      </c>
      <c r="S29" s="30">
        <f t="shared" si="1"/>
        <v>0.99678022183854953</v>
      </c>
      <c r="T29" s="30">
        <f t="shared" si="1"/>
        <v>0.99685231466234414</v>
      </c>
      <c r="U29" s="30">
        <f t="shared" si="2"/>
        <v>0.99687806209941365</v>
      </c>
      <c r="V29" s="30">
        <f t="shared" si="2"/>
        <v>0.99688683963477831</v>
      </c>
      <c r="W29" s="30">
        <f t="shared" si="2"/>
        <v>0.99688970187457115</v>
      </c>
      <c r="X29" s="30"/>
      <c r="Z29" s="30" t="b">
        <f t="shared" si="4"/>
        <v>1</v>
      </c>
    </row>
    <row r="30" spans="1:27">
      <c r="A30" t="str">
        <f>MLIST!A18</f>
        <v>Water Heating</v>
      </c>
      <c r="B30" t="str">
        <f>MLIST!D18</f>
        <v>Showerheads - Retro</v>
      </c>
      <c r="C30" s="8" t="s">
        <v>482</v>
      </c>
      <c r="D30" s="30">
        <f t="shared" si="3"/>
        <v>0.10937459468255628</v>
      </c>
      <c r="E30" s="30">
        <f t="shared" si="1"/>
        <v>0.10937459468255628</v>
      </c>
      <c r="F30" s="30">
        <f t="shared" si="1"/>
        <v>0.10937459468255628</v>
      </c>
      <c r="G30" s="30">
        <f t="shared" si="1"/>
        <v>0.10937459468255628</v>
      </c>
      <c r="H30" s="30">
        <f t="shared" si="1"/>
        <v>0.10937459468255628</v>
      </c>
      <c r="I30" s="30">
        <f t="shared" si="1"/>
        <v>9.8437135214300656E-2</v>
      </c>
      <c r="J30" s="30">
        <f t="shared" si="1"/>
        <v>7.874970817144053E-2</v>
      </c>
      <c r="K30" s="30">
        <f t="shared" si="1"/>
        <v>6.2999766537152418E-2</v>
      </c>
      <c r="L30" s="30">
        <f t="shared" si="1"/>
        <v>5.0399813229721938E-2</v>
      </c>
      <c r="M30" s="30">
        <f t="shared" si="1"/>
        <v>4.0319850583777551E-2</v>
      </c>
      <c r="N30" s="30">
        <f t="shared" si="1"/>
        <v>3.225588046702204E-2</v>
      </c>
      <c r="O30" s="30">
        <f t="shared" si="1"/>
        <v>2.5804704373617631E-2</v>
      </c>
      <c r="P30" s="30">
        <f t="shared" si="1"/>
        <v>2.0643763498894106E-2</v>
      </c>
      <c r="Q30" s="30">
        <f t="shared" si="1"/>
        <v>1.6515010799115284E-2</v>
      </c>
      <c r="R30" s="30">
        <f t="shared" si="1"/>
        <v>1.3212008639292228E-2</v>
      </c>
      <c r="S30" s="30">
        <f t="shared" si="1"/>
        <v>1.0569606911433781E-2</v>
      </c>
      <c r="T30" s="30">
        <f t="shared" si="1"/>
        <v>7.2092823794611682E-5</v>
      </c>
      <c r="U30" s="30">
        <f t="shared" si="2"/>
        <v>2.5747437069512102E-5</v>
      </c>
      <c r="V30" s="30">
        <f t="shared" si="2"/>
        <v>8.7775353646568632E-6</v>
      </c>
      <c r="W30" s="30">
        <f t="shared" si="2"/>
        <v>2.8622397928446119E-6</v>
      </c>
      <c r="X30" s="30"/>
      <c r="Z30" s="30" t="b">
        <f t="shared" si="4"/>
        <v>1</v>
      </c>
    </row>
    <row r="31" spans="1:27">
      <c r="A31" t="str">
        <f>MLIST!A19</f>
        <v>Water Heating</v>
      </c>
      <c r="B31" t="str">
        <f>MLIST!D19</f>
        <v>HPWH - New</v>
      </c>
      <c r="C31" t="s">
        <v>497</v>
      </c>
      <c r="D31" s="30">
        <f t="shared" si="3"/>
        <v>5.5320496977002724E-3</v>
      </c>
      <c r="E31" s="30">
        <f t="shared" si="1"/>
        <v>1.4227918344261844E-2</v>
      </c>
      <c r="F31" s="30">
        <f t="shared" si="1"/>
        <v>3.1619655637384989E-2</v>
      </c>
      <c r="G31" s="30">
        <f t="shared" si="1"/>
        <v>6.2055195900350503E-2</v>
      </c>
      <c r="H31" s="30">
        <f t="shared" si="1"/>
        <v>0.10939936964274129</v>
      </c>
      <c r="I31" s="30">
        <f t="shared" si="1"/>
        <v>0.17568121288208835</v>
      </c>
      <c r="J31" s="30">
        <f t="shared" si="1"/>
        <v>0.26003992245943919</v>
      </c>
      <c r="K31" s="30">
        <f t="shared" si="1"/>
        <v>0.3584584169663485</v>
      </c>
      <c r="L31" s="30">
        <f t="shared" si="1"/>
        <v>0.46444756489686617</v>
      </c>
      <c r="M31" s="30">
        <f t="shared" si="1"/>
        <v>0.57043671282738384</v>
      </c>
      <c r="N31" s="30">
        <f t="shared" si="1"/>
        <v>0.66935991756253377</v>
      </c>
      <c r="O31" s="30">
        <f t="shared" si="1"/>
        <v>0.75591772170578986</v>
      </c>
      <c r="P31" s="30">
        <f t="shared" si="1"/>
        <v>0.82720061923553012</v>
      </c>
      <c r="Q31" s="30">
        <f t="shared" si="1"/>
        <v>0.88264287286977261</v>
      </c>
      <c r="R31" s="30">
        <f t="shared" si="1"/>
        <v>0.92349505975816193</v>
      </c>
      <c r="S31" s="30">
        <f t="shared" si="1"/>
        <v>0.95209159058003434</v>
      </c>
      <c r="T31" s="30">
        <f t="shared" si="1"/>
        <v>0.97115594446128262</v>
      </c>
      <c r="U31" s="30">
        <f t="shared" si="2"/>
        <v>0.98328780602207699</v>
      </c>
      <c r="V31" s="30">
        <f t="shared" si="2"/>
        <v>0.99067241740690848</v>
      </c>
      <c r="W31" s="30">
        <f t="shared" si="2"/>
        <v>0.99498010738139331</v>
      </c>
      <c r="X31" s="30"/>
      <c r="Z31" s="30" t="b">
        <f t="shared" si="4"/>
        <v>1</v>
      </c>
    </row>
    <row r="32" spans="1:27">
      <c r="A32" t="str">
        <f>MLIST!A20</f>
        <v>Water Heating</v>
      </c>
      <c r="B32" t="str">
        <f>MLIST!D20</f>
        <v>HPWH - NR</v>
      </c>
      <c r="C32" t="s">
        <v>497</v>
      </c>
      <c r="D32" s="30">
        <f t="shared" si="3"/>
        <v>5.5320496977002724E-3</v>
      </c>
      <c r="E32" s="30">
        <f t="shared" si="1"/>
        <v>1.4227918344261844E-2</v>
      </c>
      <c r="F32" s="30">
        <f t="shared" si="1"/>
        <v>3.1619655637384989E-2</v>
      </c>
      <c r="G32" s="30">
        <f t="shared" si="1"/>
        <v>6.2055195900350503E-2</v>
      </c>
      <c r="H32" s="30">
        <f t="shared" si="1"/>
        <v>0.10939936964274129</v>
      </c>
      <c r="I32" s="30">
        <f t="shared" si="1"/>
        <v>0.17568121288208835</v>
      </c>
      <c r="J32" s="30">
        <f t="shared" si="1"/>
        <v>0.26003992245943919</v>
      </c>
      <c r="K32" s="30">
        <f t="shared" si="1"/>
        <v>0.3584584169663485</v>
      </c>
      <c r="L32" s="30">
        <f t="shared" si="1"/>
        <v>0.46444756489686617</v>
      </c>
      <c r="M32" s="30">
        <f t="shared" si="1"/>
        <v>0.57043671282738384</v>
      </c>
      <c r="N32" s="30">
        <f t="shared" si="1"/>
        <v>0.66935991756253377</v>
      </c>
      <c r="O32" s="30">
        <f t="shared" si="1"/>
        <v>0.75591772170578986</v>
      </c>
      <c r="P32" s="30">
        <f t="shared" si="1"/>
        <v>0.82720061923553012</v>
      </c>
      <c r="Q32" s="30">
        <f t="shared" si="1"/>
        <v>0.88264287286977261</v>
      </c>
      <c r="R32" s="30">
        <f t="shared" si="1"/>
        <v>0.92349505975816193</v>
      </c>
      <c r="S32" s="30">
        <f t="shared" si="1"/>
        <v>0.95209159058003434</v>
      </c>
      <c r="T32" s="30">
        <f t="shared" si="1"/>
        <v>0.97115594446128262</v>
      </c>
      <c r="U32" s="30">
        <f t="shared" si="2"/>
        <v>0.98328780602207699</v>
      </c>
      <c r="V32" s="30">
        <f t="shared" si="2"/>
        <v>0.99067241740690848</v>
      </c>
      <c r="W32" s="30">
        <f t="shared" si="2"/>
        <v>0.99498010738139331</v>
      </c>
      <c r="X32" s="30"/>
      <c r="Z32" s="30" t="b">
        <f t="shared" si="4"/>
        <v>1</v>
      </c>
    </row>
    <row r="33" spans="1:26">
      <c r="A33" t="str">
        <f>MLIST!A21</f>
        <v>Whole Bldg/Meter Level</v>
      </c>
      <c r="B33" t="str">
        <f>MLIST!D21</f>
        <v>EV Supply Equip - NR</v>
      </c>
      <c r="C33" t="s">
        <v>491</v>
      </c>
      <c r="D33" s="30">
        <f t="shared" si="3"/>
        <v>0.01</v>
      </c>
      <c r="E33" s="30">
        <f t="shared" si="1"/>
        <v>2.98E-2</v>
      </c>
      <c r="F33" s="30">
        <f t="shared" si="1"/>
        <v>5.8906E-2</v>
      </c>
      <c r="G33" s="30">
        <f t="shared" si="1"/>
        <v>9.6549759999999998E-2</v>
      </c>
      <c r="H33" s="30">
        <f t="shared" si="1"/>
        <v>0.14172227199999998</v>
      </c>
      <c r="I33" s="30">
        <f t="shared" si="1"/>
        <v>0.19035800991999999</v>
      </c>
      <c r="J33" s="30">
        <f t="shared" si="1"/>
        <v>0.2362377226912</v>
      </c>
      <c r="K33" s="30">
        <f t="shared" si="1"/>
        <v>0.279517585072032</v>
      </c>
      <c r="L33" s="30">
        <f t="shared" si="1"/>
        <v>0.32034492191795017</v>
      </c>
      <c r="M33" s="30">
        <f t="shared" si="1"/>
        <v>0.35885870967593297</v>
      </c>
      <c r="N33" s="30">
        <f t="shared" si="1"/>
        <v>0.39519004946096342</v>
      </c>
      <c r="O33" s="30">
        <f t="shared" si="1"/>
        <v>0.42946261332484215</v>
      </c>
      <c r="P33" s="30">
        <f t="shared" si="1"/>
        <v>0.46179306523643443</v>
      </c>
      <c r="Q33" s="30">
        <f t="shared" si="1"/>
        <v>0.49229145820636983</v>
      </c>
      <c r="R33" s="30">
        <f t="shared" si="1"/>
        <v>0.5210616089080089</v>
      </c>
      <c r="S33" s="30">
        <f t="shared" si="1"/>
        <v>0.54820145106988838</v>
      </c>
      <c r="T33" s="30">
        <f t="shared" si="1"/>
        <v>0.57380336884259475</v>
      </c>
      <c r="U33" s="30">
        <f t="shared" si="2"/>
        <v>0.59795451127484767</v>
      </c>
      <c r="V33" s="30">
        <f t="shared" si="2"/>
        <v>0.62073708896927293</v>
      </c>
      <c r="W33" s="30">
        <f t="shared" si="2"/>
        <v>0.6422286539276808</v>
      </c>
      <c r="X33" s="30"/>
      <c r="Z33" s="30" t="b">
        <f t="shared" si="4"/>
        <v>1</v>
      </c>
    </row>
    <row r="34" spans="1:26">
      <c r="A34" t="str">
        <f>MLIST!A22</f>
        <v>Dryer</v>
      </c>
      <c r="B34" t="str">
        <f>MLIST!D22</f>
        <v>Clothes Dryer - New</v>
      </c>
      <c r="C34" t="s">
        <v>491</v>
      </c>
      <c r="D34" s="30">
        <f t="shared" si="3"/>
        <v>0.01</v>
      </c>
      <c r="E34" s="30">
        <f t="shared" si="1"/>
        <v>2.98E-2</v>
      </c>
      <c r="F34" s="30">
        <f t="shared" si="1"/>
        <v>5.8906E-2</v>
      </c>
      <c r="G34" s="30">
        <f t="shared" si="1"/>
        <v>9.6549759999999998E-2</v>
      </c>
      <c r="H34" s="30">
        <f t="shared" si="1"/>
        <v>0.14172227199999998</v>
      </c>
      <c r="I34" s="30">
        <f t="shared" si="1"/>
        <v>0.19035800991999999</v>
      </c>
      <c r="J34" s="30">
        <f t="shared" si="1"/>
        <v>0.2362377226912</v>
      </c>
      <c r="K34" s="30">
        <f t="shared" si="1"/>
        <v>0.279517585072032</v>
      </c>
      <c r="L34" s="30">
        <f t="shared" si="1"/>
        <v>0.32034492191795017</v>
      </c>
      <c r="M34" s="30">
        <f t="shared" si="1"/>
        <v>0.35885870967593297</v>
      </c>
      <c r="N34" s="30">
        <f t="shared" si="1"/>
        <v>0.39519004946096342</v>
      </c>
      <c r="O34" s="30">
        <f t="shared" si="1"/>
        <v>0.42946261332484215</v>
      </c>
      <c r="P34" s="30">
        <f t="shared" si="1"/>
        <v>0.46179306523643443</v>
      </c>
      <c r="Q34" s="30">
        <f t="shared" si="1"/>
        <v>0.49229145820636983</v>
      </c>
      <c r="R34" s="30">
        <f t="shared" si="1"/>
        <v>0.5210616089080089</v>
      </c>
      <c r="S34" s="30">
        <f t="shared" si="1"/>
        <v>0.54820145106988838</v>
      </c>
      <c r="T34" s="30">
        <f t="shared" si="1"/>
        <v>0.57380336884259475</v>
      </c>
      <c r="U34" s="30">
        <f t="shared" si="2"/>
        <v>0.59795451127484767</v>
      </c>
      <c r="V34" s="30">
        <f t="shared" si="2"/>
        <v>0.62073708896927293</v>
      </c>
      <c r="W34" s="30">
        <f t="shared" si="2"/>
        <v>0.6422286539276808</v>
      </c>
      <c r="X34" s="30"/>
      <c r="Z34" s="30" t="b">
        <f t="shared" si="4"/>
        <v>1</v>
      </c>
    </row>
    <row r="35" spans="1:26">
      <c r="A35" t="str">
        <f>MLIST!A23</f>
        <v>Dryer</v>
      </c>
      <c r="B35" t="str">
        <f>MLIST!D23</f>
        <v>Clothes Dryer - NR</v>
      </c>
      <c r="C35" t="s">
        <v>491</v>
      </c>
      <c r="D35" s="30">
        <f t="shared" si="3"/>
        <v>0.01</v>
      </c>
      <c r="E35" s="30">
        <f t="shared" si="1"/>
        <v>2.98E-2</v>
      </c>
      <c r="F35" s="30">
        <f t="shared" si="1"/>
        <v>5.8906E-2</v>
      </c>
      <c r="G35" s="30">
        <f t="shared" si="1"/>
        <v>9.6549759999999998E-2</v>
      </c>
      <c r="H35" s="30">
        <f t="shared" si="1"/>
        <v>0.14172227199999998</v>
      </c>
      <c r="I35" s="30">
        <f t="shared" si="1"/>
        <v>0.19035800991999999</v>
      </c>
      <c r="J35" s="30">
        <f t="shared" si="1"/>
        <v>0.2362377226912</v>
      </c>
      <c r="K35" s="30">
        <f t="shared" si="1"/>
        <v>0.279517585072032</v>
      </c>
      <c r="L35" s="30">
        <f t="shared" si="1"/>
        <v>0.32034492191795017</v>
      </c>
      <c r="M35" s="30">
        <f t="shared" si="1"/>
        <v>0.35885870967593297</v>
      </c>
      <c r="N35" s="30">
        <f t="shared" si="1"/>
        <v>0.39519004946096342</v>
      </c>
      <c r="O35" s="30">
        <f t="shared" si="1"/>
        <v>0.42946261332484215</v>
      </c>
      <c r="P35" s="30">
        <f t="shared" si="1"/>
        <v>0.46179306523643443</v>
      </c>
      <c r="Q35" s="30">
        <f t="shared" si="1"/>
        <v>0.49229145820636983</v>
      </c>
      <c r="R35" s="30">
        <f t="shared" si="1"/>
        <v>0.5210616089080089</v>
      </c>
      <c r="S35" s="30">
        <f t="shared" si="1"/>
        <v>0.54820145106988838</v>
      </c>
      <c r="T35" s="30">
        <f t="shared" ref="T35:W54" si="5">IF(ISBLANK($C35),"",VLOOKUP($C35,$C$1:$X$17,T$19-$D$19+2,FALSE))</f>
        <v>0.57380336884259475</v>
      </c>
      <c r="U35" s="30">
        <f t="shared" si="2"/>
        <v>0.59795451127484767</v>
      </c>
      <c r="V35" s="30">
        <f t="shared" si="2"/>
        <v>0.62073708896927293</v>
      </c>
      <c r="W35" s="30">
        <f t="shared" si="2"/>
        <v>0.6422286539276808</v>
      </c>
      <c r="X35" s="30"/>
      <c r="Z35" s="30" t="b">
        <f t="shared" si="4"/>
        <v>1</v>
      </c>
    </row>
    <row r="36" spans="1:26">
      <c r="A36" t="str">
        <f>MLIST!A24</f>
        <v>Refrigeration</v>
      </c>
      <c r="B36" t="str">
        <f>MLIST!D24</f>
        <v>Refrigerator - New</v>
      </c>
      <c r="C36" t="s">
        <v>501</v>
      </c>
      <c r="D36" s="30">
        <f t="shared" si="3"/>
        <v>2.5643970768378654E-3</v>
      </c>
      <c r="E36" s="30">
        <f t="shared" si="3"/>
        <v>7.6904586297764643E-3</v>
      </c>
      <c r="F36" s="30">
        <f t="shared" si="3"/>
        <v>1.6792013047419844E-2</v>
      </c>
      <c r="G36" s="30">
        <f t="shared" si="3"/>
        <v>3.15969387774655E-2</v>
      </c>
      <c r="H36" s="30">
        <f t="shared" si="3"/>
        <v>5.406874819795171E-2</v>
      </c>
      <c r="I36" s="30">
        <f t="shared" si="3"/>
        <v>8.6253181011834101E-2</v>
      </c>
      <c r="J36" s="30">
        <f t="shared" si="3"/>
        <v>0.1300328481838382</v>
      </c>
      <c r="K36" s="30">
        <f t="shared" si="3"/>
        <v>0.18678710893858319</v>
      </c>
      <c r="L36" s="30">
        <f t="shared" si="3"/>
        <v>0.2569823480072907</v>
      </c>
      <c r="M36" s="30">
        <f t="shared" si="3"/>
        <v>0.33975920985004748</v>
      </c>
      <c r="N36" s="30">
        <f t="shared" si="3"/>
        <v>0.43262946935754232</v>
      </c>
      <c r="O36" s="30">
        <f t="shared" si="3"/>
        <v>0.53142594003645804</v>
      </c>
      <c r="P36" s="30">
        <f t="shared" si="3"/>
        <v>0.63063487292644704</v>
      </c>
      <c r="Q36" s="30">
        <f t="shared" si="3"/>
        <v>0.7241560234206913</v>
      </c>
      <c r="R36" s="30">
        <f t="shared" si="3"/>
        <v>0.80638203131755359</v>
      </c>
      <c r="S36" s="30">
        <f t="shared" si="3"/>
        <v>0.87331559734491926</v>
      </c>
      <c r="T36" s="30">
        <f t="shared" si="5"/>
        <v>0.92334516248836807</v>
      </c>
      <c r="U36" s="30">
        <f t="shared" si="2"/>
        <v>0.95737002770730018</v>
      </c>
      <c r="V36" s="30">
        <f t="shared" si="2"/>
        <v>0.97821608704807483</v>
      </c>
      <c r="W36" s="30">
        <f t="shared" si="2"/>
        <v>0.98821608704807484</v>
      </c>
      <c r="X36" s="30"/>
      <c r="Z36" s="30" t="b">
        <f t="shared" si="4"/>
        <v>1</v>
      </c>
    </row>
    <row r="37" spans="1:26">
      <c r="A37" t="str">
        <f>MLIST!A25</f>
        <v>Refrigeration</v>
      </c>
      <c r="B37" t="str">
        <f>MLIST!D25</f>
        <v>Refrigerator - NR</v>
      </c>
      <c r="C37" t="s">
        <v>501</v>
      </c>
      <c r="D37" s="30">
        <f t="shared" ref="D37:S52" si="6">IF(ISBLANK($C37),"",VLOOKUP($C37,$C$1:$X$17,D$19-$D$19+2,FALSE))</f>
        <v>2.5643970768378654E-3</v>
      </c>
      <c r="E37" s="30">
        <f t="shared" si="6"/>
        <v>7.6904586297764643E-3</v>
      </c>
      <c r="F37" s="30">
        <f t="shared" si="6"/>
        <v>1.6792013047419844E-2</v>
      </c>
      <c r="G37" s="30">
        <f t="shared" si="6"/>
        <v>3.15969387774655E-2</v>
      </c>
      <c r="H37" s="30">
        <f t="shared" si="6"/>
        <v>5.406874819795171E-2</v>
      </c>
      <c r="I37" s="30">
        <f t="shared" si="6"/>
        <v>8.6253181011834101E-2</v>
      </c>
      <c r="J37" s="30">
        <f t="shared" si="6"/>
        <v>0.1300328481838382</v>
      </c>
      <c r="K37" s="30">
        <f t="shared" si="6"/>
        <v>0.18678710893858319</v>
      </c>
      <c r="L37" s="30">
        <f t="shared" si="6"/>
        <v>0.2569823480072907</v>
      </c>
      <c r="M37" s="30">
        <f t="shared" si="6"/>
        <v>0.33975920985004748</v>
      </c>
      <c r="N37" s="30">
        <f t="shared" si="6"/>
        <v>0.43262946935754232</v>
      </c>
      <c r="O37" s="30">
        <f t="shared" si="6"/>
        <v>0.53142594003645804</v>
      </c>
      <c r="P37" s="30">
        <f t="shared" si="6"/>
        <v>0.63063487292644704</v>
      </c>
      <c r="Q37" s="30">
        <f t="shared" si="6"/>
        <v>0.7241560234206913</v>
      </c>
      <c r="R37" s="30">
        <f t="shared" si="6"/>
        <v>0.80638203131755359</v>
      </c>
      <c r="S37" s="30">
        <f t="shared" si="6"/>
        <v>0.87331559734491926</v>
      </c>
      <c r="T37" s="30">
        <f t="shared" si="5"/>
        <v>0.92334516248836807</v>
      </c>
      <c r="U37" s="30">
        <f t="shared" si="2"/>
        <v>0.95737002770730018</v>
      </c>
      <c r="V37" s="30">
        <f t="shared" si="2"/>
        <v>0.97821608704807483</v>
      </c>
      <c r="W37" s="30">
        <f t="shared" si="2"/>
        <v>0.98821608704807484</v>
      </c>
      <c r="X37" s="30"/>
      <c r="Z37" s="30" t="b">
        <f t="shared" si="4"/>
        <v>1</v>
      </c>
    </row>
    <row r="38" spans="1:26">
      <c r="A38" t="str">
        <f>MLIST!A26</f>
        <v>Refrigeration</v>
      </c>
      <c r="B38" t="str">
        <f>MLIST!D26</f>
        <v>Freezer - New</v>
      </c>
      <c r="C38" t="s">
        <v>501</v>
      </c>
      <c r="D38" s="30">
        <f t="shared" si="6"/>
        <v>2.5643970768378654E-3</v>
      </c>
      <c r="E38" s="30">
        <f t="shared" si="6"/>
        <v>7.6904586297764643E-3</v>
      </c>
      <c r="F38" s="30">
        <f t="shared" si="6"/>
        <v>1.6792013047419844E-2</v>
      </c>
      <c r="G38" s="30">
        <f t="shared" si="6"/>
        <v>3.15969387774655E-2</v>
      </c>
      <c r="H38" s="30">
        <f t="shared" si="6"/>
        <v>5.406874819795171E-2</v>
      </c>
      <c r="I38" s="30">
        <f t="shared" si="6"/>
        <v>8.6253181011834101E-2</v>
      </c>
      <c r="J38" s="30">
        <f t="shared" si="6"/>
        <v>0.1300328481838382</v>
      </c>
      <c r="K38" s="30">
        <f t="shared" si="6"/>
        <v>0.18678710893858319</v>
      </c>
      <c r="L38" s="30">
        <f t="shared" si="6"/>
        <v>0.2569823480072907</v>
      </c>
      <c r="M38" s="30">
        <f t="shared" si="6"/>
        <v>0.33975920985004748</v>
      </c>
      <c r="N38" s="30">
        <f t="shared" si="6"/>
        <v>0.43262946935754232</v>
      </c>
      <c r="O38" s="30">
        <f t="shared" si="6"/>
        <v>0.53142594003645804</v>
      </c>
      <c r="P38" s="30">
        <f t="shared" si="6"/>
        <v>0.63063487292644704</v>
      </c>
      <c r="Q38" s="30">
        <f t="shared" si="6"/>
        <v>0.7241560234206913</v>
      </c>
      <c r="R38" s="30">
        <f t="shared" si="6"/>
        <v>0.80638203131755359</v>
      </c>
      <c r="S38" s="30">
        <f t="shared" si="6"/>
        <v>0.87331559734491926</v>
      </c>
      <c r="T38" s="30">
        <f t="shared" si="5"/>
        <v>0.92334516248836807</v>
      </c>
      <c r="U38" s="30">
        <f t="shared" si="2"/>
        <v>0.95737002770730018</v>
      </c>
      <c r="V38" s="30">
        <f t="shared" si="2"/>
        <v>0.97821608704807483</v>
      </c>
      <c r="W38" s="30">
        <f t="shared" si="2"/>
        <v>0.98821608704807484</v>
      </c>
      <c r="X38" s="30"/>
      <c r="Z38" s="30" t="b">
        <f t="shared" si="4"/>
        <v>1</v>
      </c>
    </row>
    <row r="39" spans="1:26">
      <c r="A39" t="str">
        <f>MLIST!A27</f>
        <v>Refrigeration</v>
      </c>
      <c r="B39" t="str">
        <f>MLIST!D27</f>
        <v>Freezer - NR</v>
      </c>
      <c r="C39" t="s">
        <v>501</v>
      </c>
      <c r="D39" s="30">
        <f t="shared" si="6"/>
        <v>2.5643970768378654E-3</v>
      </c>
      <c r="E39" s="30">
        <f t="shared" si="6"/>
        <v>7.6904586297764643E-3</v>
      </c>
      <c r="F39" s="30">
        <f t="shared" si="6"/>
        <v>1.6792013047419844E-2</v>
      </c>
      <c r="G39" s="30">
        <f t="shared" si="6"/>
        <v>3.15969387774655E-2</v>
      </c>
      <c r="H39" s="30">
        <f t="shared" si="6"/>
        <v>5.406874819795171E-2</v>
      </c>
      <c r="I39" s="30">
        <f t="shared" si="6"/>
        <v>8.6253181011834101E-2</v>
      </c>
      <c r="J39" s="30">
        <f t="shared" si="6"/>
        <v>0.1300328481838382</v>
      </c>
      <c r="K39" s="30">
        <f t="shared" si="6"/>
        <v>0.18678710893858319</v>
      </c>
      <c r="L39" s="30">
        <f t="shared" si="6"/>
        <v>0.2569823480072907</v>
      </c>
      <c r="M39" s="30">
        <f t="shared" si="6"/>
        <v>0.33975920985004748</v>
      </c>
      <c r="N39" s="30">
        <f t="shared" si="6"/>
        <v>0.43262946935754232</v>
      </c>
      <c r="O39" s="30">
        <f t="shared" si="6"/>
        <v>0.53142594003645804</v>
      </c>
      <c r="P39" s="30">
        <f t="shared" si="6"/>
        <v>0.63063487292644704</v>
      </c>
      <c r="Q39" s="30">
        <f t="shared" si="6"/>
        <v>0.7241560234206913</v>
      </c>
      <c r="R39" s="30">
        <f t="shared" si="6"/>
        <v>0.80638203131755359</v>
      </c>
      <c r="S39" s="30">
        <f t="shared" si="6"/>
        <v>0.87331559734491926</v>
      </c>
      <c r="T39" s="30">
        <f t="shared" si="5"/>
        <v>0.92334516248836807</v>
      </c>
      <c r="U39" s="30">
        <f t="shared" si="2"/>
        <v>0.95737002770730018</v>
      </c>
      <c r="V39" s="30">
        <f t="shared" si="2"/>
        <v>0.97821608704807483</v>
      </c>
      <c r="W39" s="30">
        <f t="shared" si="2"/>
        <v>0.98821608704807484</v>
      </c>
      <c r="X39" s="30"/>
      <c r="Z39" s="30" t="b">
        <f t="shared" si="4"/>
        <v>1</v>
      </c>
    </row>
    <row r="40" spans="1:26">
      <c r="A40" t="str">
        <f>MLIST!A28</f>
        <v>Water Heating</v>
      </c>
      <c r="B40" t="str">
        <f>MLIST!D28</f>
        <v>Solar Water Heater - New</v>
      </c>
      <c r="C40" t="s">
        <v>491</v>
      </c>
      <c r="D40" s="30">
        <f t="shared" si="6"/>
        <v>0.01</v>
      </c>
      <c r="E40" s="30">
        <f t="shared" si="6"/>
        <v>2.98E-2</v>
      </c>
      <c r="F40" s="30">
        <f t="shared" si="6"/>
        <v>5.8906E-2</v>
      </c>
      <c r="G40" s="30">
        <f t="shared" si="6"/>
        <v>9.6549759999999998E-2</v>
      </c>
      <c r="H40" s="30">
        <f t="shared" si="6"/>
        <v>0.14172227199999998</v>
      </c>
      <c r="I40" s="30">
        <f t="shared" si="6"/>
        <v>0.19035800991999999</v>
      </c>
      <c r="J40" s="30">
        <f t="shared" si="6"/>
        <v>0.2362377226912</v>
      </c>
      <c r="K40" s="30">
        <f t="shared" si="6"/>
        <v>0.279517585072032</v>
      </c>
      <c r="L40" s="30">
        <f t="shared" si="6"/>
        <v>0.32034492191795017</v>
      </c>
      <c r="M40" s="30">
        <f t="shared" si="6"/>
        <v>0.35885870967593297</v>
      </c>
      <c r="N40" s="30">
        <f t="shared" si="6"/>
        <v>0.39519004946096342</v>
      </c>
      <c r="O40" s="30">
        <f t="shared" si="6"/>
        <v>0.42946261332484215</v>
      </c>
      <c r="P40" s="30">
        <f t="shared" si="6"/>
        <v>0.46179306523643443</v>
      </c>
      <c r="Q40" s="30">
        <f t="shared" si="6"/>
        <v>0.49229145820636983</v>
      </c>
      <c r="R40" s="30">
        <f t="shared" si="6"/>
        <v>0.5210616089080089</v>
      </c>
      <c r="S40" s="30">
        <f t="shared" si="6"/>
        <v>0.54820145106988838</v>
      </c>
      <c r="T40" s="30">
        <f t="shared" si="5"/>
        <v>0.57380336884259475</v>
      </c>
      <c r="U40" s="30">
        <f t="shared" si="5"/>
        <v>0.59795451127484767</v>
      </c>
      <c r="V40" s="30">
        <f t="shared" si="5"/>
        <v>0.62073708896927293</v>
      </c>
      <c r="W40" s="30">
        <f t="shared" si="5"/>
        <v>0.6422286539276808</v>
      </c>
      <c r="X40" s="30"/>
      <c r="Z40" s="30" t="b">
        <f t="shared" si="4"/>
        <v>1</v>
      </c>
    </row>
    <row r="41" spans="1:26">
      <c r="A41" t="str">
        <f>MLIST!A29</f>
        <v>Water Heating</v>
      </c>
      <c r="B41" t="str">
        <f>MLIST!D29</f>
        <v>Solar Water Heater - NR</v>
      </c>
      <c r="C41" t="s">
        <v>491</v>
      </c>
      <c r="D41" s="30">
        <f t="shared" si="6"/>
        <v>0.01</v>
      </c>
      <c r="E41" s="30">
        <f t="shared" si="6"/>
        <v>2.98E-2</v>
      </c>
      <c r="F41" s="30">
        <f t="shared" si="6"/>
        <v>5.8906E-2</v>
      </c>
      <c r="G41" s="30">
        <f t="shared" si="6"/>
        <v>9.6549759999999998E-2</v>
      </c>
      <c r="H41" s="30">
        <f t="shared" si="6"/>
        <v>0.14172227199999998</v>
      </c>
      <c r="I41" s="30">
        <f t="shared" si="6"/>
        <v>0.19035800991999999</v>
      </c>
      <c r="J41" s="30">
        <f t="shared" si="6"/>
        <v>0.2362377226912</v>
      </c>
      <c r="K41" s="30">
        <f t="shared" si="6"/>
        <v>0.279517585072032</v>
      </c>
      <c r="L41" s="30">
        <f t="shared" si="6"/>
        <v>0.32034492191795017</v>
      </c>
      <c r="M41" s="30">
        <f t="shared" si="6"/>
        <v>0.35885870967593297</v>
      </c>
      <c r="N41" s="30">
        <f t="shared" si="6"/>
        <v>0.39519004946096342</v>
      </c>
      <c r="O41" s="30">
        <f t="shared" si="6"/>
        <v>0.42946261332484215</v>
      </c>
      <c r="P41" s="30">
        <f t="shared" si="6"/>
        <v>0.46179306523643443</v>
      </c>
      <c r="Q41" s="30">
        <f t="shared" si="6"/>
        <v>0.49229145820636983</v>
      </c>
      <c r="R41" s="30">
        <f t="shared" si="6"/>
        <v>0.5210616089080089</v>
      </c>
      <c r="S41" s="30">
        <f t="shared" si="6"/>
        <v>0.54820145106988838</v>
      </c>
      <c r="T41" s="30">
        <f t="shared" si="5"/>
        <v>0.57380336884259475</v>
      </c>
      <c r="U41" s="30">
        <f t="shared" si="5"/>
        <v>0.59795451127484767</v>
      </c>
      <c r="V41" s="30">
        <f t="shared" si="5"/>
        <v>0.62073708896927293</v>
      </c>
      <c r="W41" s="30">
        <f t="shared" si="5"/>
        <v>0.6422286539276808</v>
      </c>
      <c r="X41" s="30"/>
      <c r="Z41" s="30" t="b">
        <f t="shared" si="4"/>
        <v>1</v>
      </c>
    </row>
    <row r="42" spans="1:26">
      <c r="A42" t="str">
        <f>MLIST!A30</f>
        <v>Water Heating</v>
      </c>
      <c r="B42" t="str">
        <f>MLIST!D30</f>
        <v>Solar Water Heater - Retro</v>
      </c>
      <c r="C42" t="s">
        <v>486</v>
      </c>
      <c r="D42" s="30">
        <f t="shared" si="6"/>
        <v>0.01</v>
      </c>
      <c r="E42" s="30">
        <f t="shared" si="6"/>
        <v>1.9799999999999998E-2</v>
      </c>
      <c r="F42" s="30">
        <f t="shared" si="6"/>
        <v>2.9106E-2</v>
      </c>
      <c r="G42" s="30">
        <f t="shared" si="6"/>
        <v>3.7643759999999998E-2</v>
      </c>
      <c r="H42" s="30">
        <f t="shared" si="6"/>
        <v>4.5172511999999984E-2</v>
      </c>
      <c r="I42" s="30">
        <f t="shared" si="6"/>
        <v>4.8635737920000005E-2</v>
      </c>
      <c r="J42" s="30">
        <f t="shared" si="6"/>
        <v>4.587971277120001E-2</v>
      </c>
      <c r="K42" s="30">
        <f t="shared" si="6"/>
        <v>4.3279862380832007E-2</v>
      </c>
      <c r="L42" s="30">
        <f t="shared" si="6"/>
        <v>4.0827336845918161E-2</v>
      </c>
      <c r="M42" s="30">
        <f t="shared" si="6"/>
        <v>3.8513787757982809E-2</v>
      </c>
      <c r="N42" s="30">
        <f t="shared" si="6"/>
        <v>3.6331339785030448E-2</v>
      </c>
      <c r="O42" s="30">
        <f t="shared" si="6"/>
        <v>3.4272563863878724E-2</v>
      </c>
      <c r="P42" s="30">
        <f t="shared" si="6"/>
        <v>3.2330451911592284E-2</v>
      </c>
      <c r="Q42" s="30">
        <f t="shared" si="6"/>
        <v>3.0498392969935395E-2</v>
      </c>
      <c r="R42" s="30">
        <f t="shared" si="6"/>
        <v>2.8770150701639075E-2</v>
      </c>
      <c r="S42" s="30">
        <f t="shared" si="6"/>
        <v>2.7139842161879479E-2</v>
      </c>
      <c r="T42" s="30">
        <f t="shared" si="5"/>
        <v>2.5601917772706373E-2</v>
      </c>
      <c r="U42" s="30">
        <f t="shared" si="5"/>
        <v>2.4151142432252914E-2</v>
      </c>
      <c r="V42" s="30">
        <f t="shared" si="5"/>
        <v>2.2782577694425266E-2</v>
      </c>
      <c r="W42" s="30">
        <f t="shared" si="5"/>
        <v>2.1491564958407872E-2</v>
      </c>
      <c r="X42" s="30"/>
      <c r="Z42" s="30" t="b">
        <f t="shared" si="4"/>
        <v>1</v>
      </c>
    </row>
    <row r="43" spans="1:26">
      <c r="A43">
        <f>MLIST!A31</f>
        <v>0</v>
      </c>
      <c r="B43">
        <f>MLIST!D31</f>
        <v>0</v>
      </c>
      <c r="C43" t="s">
        <v>491</v>
      </c>
      <c r="D43" s="30">
        <f t="shared" si="6"/>
        <v>0.01</v>
      </c>
      <c r="E43" s="30">
        <f t="shared" si="6"/>
        <v>2.98E-2</v>
      </c>
      <c r="F43" s="30">
        <f t="shared" si="6"/>
        <v>5.8906E-2</v>
      </c>
      <c r="G43" s="30">
        <f t="shared" si="6"/>
        <v>9.6549759999999998E-2</v>
      </c>
      <c r="H43" s="30">
        <f t="shared" si="6"/>
        <v>0.14172227199999998</v>
      </c>
      <c r="I43" s="30">
        <f t="shared" si="6"/>
        <v>0.19035800991999999</v>
      </c>
      <c r="J43" s="30">
        <f t="shared" si="6"/>
        <v>0.2362377226912</v>
      </c>
      <c r="K43" s="30">
        <f t="shared" si="6"/>
        <v>0.279517585072032</v>
      </c>
      <c r="L43" s="30">
        <f t="shared" si="6"/>
        <v>0.32034492191795017</v>
      </c>
      <c r="M43" s="30">
        <f t="shared" si="6"/>
        <v>0.35885870967593297</v>
      </c>
      <c r="N43" s="30">
        <f t="shared" si="6"/>
        <v>0.39519004946096342</v>
      </c>
      <c r="O43" s="30">
        <f t="shared" si="6"/>
        <v>0.42946261332484215</v>
      </c>
      <c r="P43" s="30">
        <f t="shared" si="6"/>
        <v>0.46179306523643443</v>
      </c>
      <c r="Q43" s="30">
        <f t="shared" si="6"/>
        <v>0.49229145820636983</v>
      </c>
      <c r="R43" s="30">
        <f t="shared" si="6"/>
        <v>0.5210616089080089</v>
      </c>
      <c r="S43" s="30">
        <f t="shared" si="6"/>
        <v>0.54820145106988838</v>
      </c>
      <c r="T43" s="30">
        <f t="shared" si="5"/>
        <v>0.57380336884259475</v>
      </c>
      <c r="U43" s="30">
        <f t="shared" si="5"/>
        <v>0.59795451127484767</v>
      </c>
      <c r="V43" s="30">
        <f t="shared" si="5"/>
        <v>0.62073708896927293</v>
      </c>
      <c r="W43" s="30">
        <f t="shared" si="5"/>
        <v>0.6422286539276808</v>
      </c>
      <c r="X43" s="30"/>
      <c r="Z43" s="30" t="b">
        <f t="shared" si="4"/>
        <v>0</v>
      </c>
    </row>
    <row r="44" spans="1:26">
      <c r="A44">
        <f>MLIST!A32</f>
        <v>0</v>
      </c>
      <c r="B44">
        <f>MLIST!D32</f>
        <v>0</v>
      </c>
      <c r="C44" t="s">
        <v>486</v>
      </c>
      <c r="D44" s="30">
        <f t="shared" si="6"/>
        <v>0.01</v>
      </c>
      <c r="E44" s="30">
        <f t="shared" si="6"/>
        <v>1.9799999999999998E-2</v>
      </c>
      <c r="F44" s="30">
        <f t="shared" si="6"/>
        <v>2.9106E-2</v>
      </c>
      <c r="G44" s="30">
        <f t="shared" si="6"/>
        <v>3.7643759999999998E-2</v>
      </c>
      <c r="H44" s="30">
        <f t="shared" si="6"/>
        <v>4.5172511999999984E-2</v>
      </c>
      <c r="I44" s="30">
        <f t="shared" si="6"/>
        <v>4.8635737920000005E-2</v>
      </c>
      <c r="J44" s="30">
        <f t="shared" si="6"/>
        <v>4.587971277120001E-2</v>
      </c>
      <c r="K44" s="30">
        <f t="shared" si="6"/>
        <v>4.3279862380832007E-2</v>
      </c>
      <c r="L44" s="30">
        <f t="shared" si="6"/>
        <v>4.0827336845918161E-2</v>
      </c>
      <c r="M44" s="30">
        <f t="shared" si="6"/>
        <v>3.8513787757982809E-2</v>
      </c>
      <c r="N44" s="30">
        <f t="shared" si="6"/>
        <v>3.6331339785030448E-2</v>
      </c>
      <c r="O44" s="30">
        <f t="shared" si="6"/>
        <v>3.4272563863878724E-2</v>
      </c>
      <c r="P44" s="30">
        <f t="shared" si="6"/>
        <v>3.2330451911592284E-2</v>
      </c>
      <c r="Q44" s="30">
        <f t="shared" si="6"/>
        <v>3.0498392969935395E-2</v>
      </c>
      <c r="R44" s="30">
        <f t="shared" si="6"/>
        <v>2.8770150701639075E-2</v>
      </c>
      <c r="S44" s="30">
        <f t="shared" si="6"/>
        <v>2.7139842161879479E-2</v>
      </c>
      <c r="T44" s="30">
        <f t="shared" si="5"/>
        <v>2.5601917772706373E-2</v>
      </c>
      <c r="U44" s="30">
        <f t="shared" si="5"/>
        <v>2.4151142432252914E-2</v>
      </c>
      <c r="V44" s="30">
        <f t="shared" si="5"/>
        <v>2.2782577694425266E-2</v>
      </c>
      <c r="W44" s="30">
        <f t="shared" si="5"/>
        <v>2.1491564958407872E-2</v>
      </c>
      <c r="X44" s="30"/>
      <c r="Z44" s="30" t="b">
        <f t="shared" si="4"/>
        <v>1</v>
      </c>
    </row>
    <row r="45" spans="1:26">
      <c r="A45" t="str">
        <f>MLIST!A33</f>
        <v>Food Preparation</v>
      </c>
      <c r="B45" t="str">
        <f>MLIST!D33</f>
        <v>Electric Oven - New</v>
      </c>
      <c r="C45" s="8" t="s">
        <v>489</v>
      </c>
      <c r="D45" s="30">
        <f t="shared" si="6"/>
        <v>0.22119921692859512</v>
      </c>
      <c r="E45" s="30">
        <f t="shared" si="6"/>
        <v>0.37624232795148943</v>
      </c>
      <c r="F45" s="30">
        <f t="shared" si="6"/>
        <v>0.48357361352878442</v>
      </c>
      <c r="G45" s="30">
        <f t="shared" si="6"/>
        <v>0.56716330278444227</v>
      </c>
      <c r="H45" s="30">
        <f t="shared" si="6"/>
        <v>0.64040048266456928</v>
      </c>
      <c r="I45" s="30">
        <f t="shared" si="6"/>
        <v>0.70377511937632964</v>
      </c>
      <c r="J45" s="30">
        <f t="shared" si="6"/>
        <v>0.7580669577441127</v>
      </c>
      <c r="K45" s="30">
        <f t="shared" si="6"/>
        <v>0.80419335000071168</v>
      </c>
      <c r="L45" s="30">
        <f t="shared" si="6"/>
        <v>0.84311022627788457</v>
      </c>
      <c r="M45" s="30">
        <f t="shared" si="6"/>
        <v>0.87575014259103623</v>
      </c>
      <c r="N45" s="30">
        <f t="shared" si="6"/>
        <v>0.90298584871682319</v>
      </c>
      <c r="O45" s="30">
        <f t="shared" si="6"/>
        <v>0.92419703797508856</v>
      </c>
      <c r="P45" s="30">
        <f t="shared" si="6"/>
        <v>0.94071632877930145</v>
      </c>
      <c r="Q45" s="30">
        <f t="shared" si="6"/>
        <v>0.95358156539340677</v>
      </c>
      <c r="R45" s="30">
        <f t="shared" si="6"/>
        <v>0.96360102174287088</v>
      </c>
      <c r="S45" s="30">
        <f t="shared" si="6"/>
        <v>0.97140418219378311</v>
      </c>
      <c r="T45" s="30">
        <f t="shared" si="5"/>
        <v>0.97748128966338554</v>
      </c>
      <c r="U45" s="30">
        <f t="shared" si="5"/>
        <v>0.98221414571952104</v>
      </c>
      <c r="V45" s="30">
        <f t="shared" si="5"/>
        <v>0.98590009772220355</v>
      </c>
      <c r="W45" s="30">
        <f t="shared" si="5"/>
        <v>0.98877072002825628</v>
      </c>
      <c r="X45" s="30"/>
      <c r="Z45" s="30" t="b">
        <f t="shared" si="4"/>
        <v>1</v>
      </c>
    </row>
    <row r="46" spans="1:26">
      <c r="A46" t="str">
        <f>MLIST!A34</f>
        <v>Food Preparation</v>
      </c>
      <c r="B46" t="str">
        <f>MLIST!D34</f>
        <v>Electric Oven - NR</v>
      </c>
      <c r="C46" s="8" t="s">
        <v>489</v>
      </c>
      <c r="D46" s="30">
        <f t="shared" si="6"/>
        <v>0.22119921692859512</v>
      </c>
      <c r="E46" s="30">
        <f t="shared" si="6"/>
        <v>0.37624232795148943</v>
      </c>
      <c r="F46" s="30">
        <f t="shared" si="6"/>
        <v>0.48357361352878442</v>
      </c>
      <c r="G46" s="30">
        <f t="shared" si="6"/>
        <v>0.56716330278444227</v>
      </c>
      <c r="H46" s="30">
        <f t="shared" si="6"/>
        <v>0.64040048266456928</v>
      </c>
      <c r="I46" s="30">
        <f t="shared" si="6"/>
        <v>0.70377511937632964</v>
      </c>
      <c r="J46" s="30">
        <f t="shared" si="6"/>
        <v>0.7580669577441127</v>
      </c>
      <c r="K46" s="30">
        <f t="shared" si="6"/>
        <v>0.80419335000071168</v>
      </c>
      <c r="L46" s="30">
        <f t="shared" si="6"/>
        <v>0.84311022627788457</v>
      </c>
      <c r="M46" s="30">
        <f t="shared" si="6"/>
        <v>0.87575014259103623</v>
      </c>
      <c r="N46" s="30">
        <f t="shared" si="6"/>
        <v>0.90298584871682319</v>
      </c>
      <c r="O46" s="30">
        <f t="shared" si="6"/>
        <v>0.92419703797508856</v>
      </c>
      <c r="P46" s="30">
        <f t="shared" si="6"/>
        <v>0.94071632877930145</v>
      </c>
      <c r="Q46" s="30">
        <f t="shared" si="6"/>
        <v>0.95358156539340677</v>
      </c>
      <c r="R46" s="30">
        <f t="shared" si="6"/>
        <v>0.96360102174287088</v>
      </c>
      <c r="S46" s="30">
        <f t="shared" si="6"/>
        <v>0.97140418219378311</v>
      </c>
      <c r="T46" s="30">
        <f t="shared" si="5"/>
        <v>0.97748128966338554</v>
      </c>
      <c r="U46" s="30">
        <f t="shared" si="5"/>
        <v>0.98221414571952104</v>
      </c>
      <c r="V46" s="30">
        <f t="shared" si="5"/>
        <v>0.98590009772220355</v>
      </c>
      <c r="W46" s="30">
        <f t="shared" si="5"/>
        <v>0.98877072002825628</v>
      </c>
      <c r="X46" s="30"/>
      <c r="Z46" s="30" t="b">
        <f t="shared" si="4"/>
        <v>1</v>
      </c>
    </row>
    <row r="47" spans="1:26">
      <c r="A47" t="str">
        <f>MLIST!A35</f>
        <v>Food Preparation</v>
      </c>
      <c r="B47" t="str">
        <f>MLIST!D35</f>
        <v>Microwave - New</v>
      </c>
      <c r="C47" s="8" t="s">
        <v>487</v>
      </c>
      <c r="D47" s="30">
        <f t="shared" si="6"/>
        <v>0.10937459468255628</v>
      </c>
      <c r="E47" s="30">
        <f t="shared" si="6"/>
        <v>0.21874918936511256</v>
      </c>
      <c r="F47" s="30">
        <f t="shared" si="6"/>
        <v>0.32812378404766884</v>
      </c>
      <c r="G47" s="30">
        <f t="shared" si="6"/>
        <v>0.43749837873022512</v>
      </c>
      <c r="H47" s="30">
        <f t="shared" si="6"/>
        <v>0.5468729734127814</v>
      </c>
      <c r="I47" s="30">
        <f t="shared" si="6"/>
        <v>0.64531010862708205</v>
      </c>
      <c r="J47" s="30">
        <f t="shared" si="6"/>
        <v>0.7240598167985226</v>
      </c>
      <c r="K47" s="30">
        <f t="shared" si="6"/>
        <v>0.78705958333567505</v>
      </c>
      <c r="L47" s="30">
        <f t="shared" si="6"/>
        <v>0.83745939656539703</v>
      </c>
      <c r="M47" s="30">
        <f t="shared" si="6"/>
        <v>0.87777924714917455</v>
      </c>
      <c r="N47" s="30">
        <f t="shared" si="6"/>
        <v>0.91003512761619654</v>
      </c>
      <c r="O47" s="30">
        <f t="shared" si="6"/>
        <v>0.93583983198981413</v>
      </c>
      <c r="P47" s="30">
        <f t="shared" si="6"/>
        <v>0.9564835954887082</v>
      </c>
      <c r="Q47" s="30">
        <f t="shared" si="6"/>
        <v>0.97299860628782353</v>
      </c>
      <c r="R47" s="30">
        <f t="shared" si="6"/>
        <v>0.9862106149271157</v>
      </c>
      <c r="S47" s="30">
        <f t="shared" si="6"/>
        <v>0.99678022183854953</v>
      </c>
      <c r="T47" s="30">
        <f t="shared" si="5"/>
        <v>0.99685231466234414</v>
      </c>
      <c r="U47" s="30">
        <f t="shared" si="5"/>
        <v>0.99687806209941365</v>
      </c>
      <c r="V47" s="30">
        <f t="shared" si="5"/>
        <v>0.99688683963477831</v>
      </c>
      <c r="W47" s="30">
        <f t="shared" si="5"/>
        <v>0.99688970187457115</v>
      </c>
      <c r="X47" s="30"/>
      <c r="Z47" s="30" t="b">
        <f t="shared" si="4"/>
        <v>1</v>
      </c>
    </row>
    <row r="48" spans="1:26">
      <c r="A48" t="str">
        <f>MLIST!A36</f>
        <v>Food Preparation</v>
      </c>
      <c r="B48" t="str">
        <f>MLIST!D36</f>
        <v>Microwave - NR</v>
      </c>
      <c r="C48" s="8" t="s">
        <v>487</v>
      </c>
      <c r="D48" s="30">
        <f t="shared" si="6"/>
        <v>0.10937459468255628</v>
      </c>
      <c r="E48" s="30">
        <f t="shared" si="6"/>
        <v>0.21874918936511256</v>
      </c>
      <c r="F48" s="30">
        <f t="shared" si="6"/>
        <v>0.32812378404766884</v>
      </c>
      <c r="G48" s="30">
        <f t="shared" si="6"/>
        <v>0.43749837873022512</v>
      </c>
      <c r="H48" s="30">
        <f t="shared" si="6"/>
        <v>0.5468729734127814</v>
      </c>
      <c r="I48" s="30">
        <f t="shared" si="6"/>
        <v>0.64531010862708205</v>
      </c>
      <c r="J48" s="30">
        <f t="shared" si="6"/>
        <v>0.7240598167985226</v>
      </c>
      <c r="K48" s="30">
        <f t="shared" si="6"/>
        <v>0.78705958333567505</v>
      </c>
      <c r="L48" s="30">
        <f t="shared" si="6"/>
        <v>0.83745939656539703</v>
      </c>
      <c r="M48" s="30">
        <f t="shared" si="6"/>
        <v>0.87777924714917455</v>
      </c>
      <c r="N48" s="30">
        <f t="shared" si="6"/>
        <v>0.91003512761619654</v>
      </c>
      <c r="O48" s="30">
        <f t="shared" si="6"/>
        <v>0.93583983198981413</v>
      </c>
      <c r="P48" s="30">
        <f t="shared" si="6"/>
        <v>0.9564835954887082</v>
      </c>
      <c r="Q48" s="30">
        <f t="shared" si="6"/>
        <v>0.97299860628782353</v>
      </c>
      <c r="R48" s="30">
        <f t="shared" si="6"/>
        <v>0.9862106149271157</v>
      </c>
      <c r="S48" s="30">
        <f t="shared" si="6"/>
        <v>0.99678022183854953</v>
      </c>
      <c r="T48" s="30">
        <f t="shared" si="5"/>
        <v>0.99685231466234414</v>
      </c>
      <c r="U48" s="30">
        <f t="shared" si="5"/>
        <v>0.99687806209941365</v>
      </c>
      <c r="V48" s="30">
        <f t="shared" si="5"/>
        <v>0.99688683963477831</v>
      </c>
      <c r="W48" s="30">
        <f t="shared" si="5"/>
        <v>0.99688970187457115</v>
      </c>
      <c r="X48" s="30"/>
      <c r="Z48" s="30" t="b">
        <f t="shared" si="4"/>
        <v>1</v>
      </c>
    </row>
    <row r="49" spans="1:26">
      <c r="A49" t="str">
        <f>MLIST!A37</f>
        <v>Electronics</v>
      </c>
      <c r="B49" t="str">
        <f>MLIST!D37</f>
        <v>Monitor - New</v>
      </c>
      <c r="C49" t="s">
        <v>488</v>
      </c>
      <c r="D49" s="30">
        <f t="shared" si="6"/>
        <v>0.45</v>
      </c>
      <c r="E49" s="30">
        <f t="shared" si="6"/>
        <v>0.66</v>
      </c>
      <c r="F49" s="30">
        <f t="shared" si="6"/>
        <v>0.8</v>
      </c>
      <c r="G49" s="30">
        <f t="shared" si="6"/>
        <v>0.89</v>
      </c>
      <c r="H49" s="30">
        <f t="shared" si="6"/>
        <v>0.94954036260972652</v>
      </c>
      <c r="I49" s="30">
        <f t="shared" si="6"/>
        <v>0.97931054391458994</v>
      </c>
      <c r="J49" s="30">
        <f t="shared" si="6"/>
        <v>0.99254173560564019</v>
      </c>
      <c r="K49" s="30">
        <f t="shared" si="6"/>
        <v>0.99783421228206048</v>
      </c>
      <c r="L49" s="30">
        <f t="shared" si="6"/>
        <v>0.99975874925530417</v>
      </c>
      <c r="M49" s="30">
        <f t="shared" si="6"/>
        <v>1.0004002615797187</v>
      </c>
      <c r="N49" s="30">
        <f t="shared" si="6"/>
        <v>1.0005976499872309</v>
      </c>
      <c r="O49" s="30">
        <f t="shared" si="6"/>
        <v>1.0006540466750915</v>
      </c>
      <c r="P49" s="30">
        <f t="shared" si="6"/>
        <v>1.0006690857918545</v>
      </c>
      <c r="Q49" s="30">
        <f t="shared" si="6"/>
        <v>1.000672845571045</v>
      </c>
      <c r="R49" s="30">
        <f t="shared" si="6"/>
        <v>1.0006737302249724</v>
      </c>
      <c r="S49" s="30">
        <f t="shared" si="6"/>
        <v>1.0006739268147338</v>
      </c>
      <c r="T49" s="30">
        <f t="shared" si="5"/>
        <v>1.0006739682020522</v>
      </c>
      <c r="U49" s="30">
        <f t="shared" si="5"/>
        <v>1.0006739764795158</v>
      </c>
      <c r="V49" s="30">
        <f t="shared" si="5"/>
        <v>1.0006739780561755</v>
      </c>
      <c r="W49" s="30">
        <f t="shared" si="5"/>
        <v>1.0006739783428409</v>
      </c>
      <c r="X49" s="30"/>
      <c r="Z49" s="30" t="b">
        <f t="shared" si="4"/>
        <v>1</v>
      </c>
    </row>
    <row r="50" spans="1:26">
      <c r="A50" t="str">
        <f>MLIST!A38</f>
        <v>Electronics</v>
      </c>
      <c r="B50" t="str">
        <f>MLIST!D38</f>
        <v>Monitor - NR</v>
      </c>
      <c r="C50" t="s">
        <v>488</v>
      </c>
      <c r="D50" s="30">
        <f t="shared" si="6"/>
        <v>0.45</v>
      </c>
      <c r="E50" s="30">
        <f t="shared" si="6"/>
        <v>0.66</v>
      </c>
      <c r="F50" s="30">
        <f t="shared" si="6"/>
        <v>0.8</v>
      </c>
      <c r="G50" s="30">
        <f t="shared" si="6"/>
        <v>0.89</v>
      </c>
      <c r="H50" s="30">
        <f t="shared" si="6"/>
        <v>0.94954036260972652</v>
      </c>
      <c r="I50" s="30">
        <f t="shared" si="6"/>
        <v>0.97931054391458994</v>
      </c>
      <c r="J50" s="30">
        <f t="shared" si="6"/>
        <v>0.99254173560564019</v>
      </c>
      <c r="K50" s="30">
        <f t="shared" si="6"/>
        <v>0.99783421228206048</v>
      </c>
      <c r="L50" s="30">
        <f t="shared" si="6"/>
        <v>0.99975874925530417</v>
      </c>
      <c r="M50" s="30">
        <f t="shared" si="6"/>
        <v>1.0004002615797187</v>
      </c>
      <c r="N50" s="30">
        <f t="shared" si="6"/>
        <v>1.0005976499872309</v>
      </c>
      <c r="O50" s="30">
        <f t="shared" si="6"/>
        <v>1.0006540466750915</v>
      </c>
      <c r="P50" s="30">
        <f t="shared" si="6"/>
        <v>1.0006690857918545</v>
      </c>
      <c r="Q50" s="30">
        <f t="shared" si="6"/>
        <v>1.000672845571045</v>
      </c>
      <c r="R50" s="30">
        <f t="shared" si="6"/>
        <v>1.0006737302249724</v>
      </c>
      <c r="S50" s="30">
        <f t="shared" si="6"/>
        <v>1.0006739268147338</v>
      </c>
      <c r="T50" s="30">
        <f t="shared" si="5"/>
        <v>1.0006739682020522</v>
      </c>
      <c r="U50" s="30">
        <f t="shared" si="5"/>
        <v>1.0006739764795158</v>
      </c>
      <c r="V50" s="30">
        <f t="shared" si="5"/>
        <v>1.0006739780561755</v>
      </c>
      <c r="W50" s="30">
        <f t="shared" si="5"/>
        <v>1.0006739783428409</v>
      </c>
      <c r="X50" s="30"/>
      <c r="Z50" s="30" t="b">
        <f t="shared" si="4"/>
        <v>1</v>
      </c>
    </row>
    <row r="51" spans="1:26">
      <c r="A51" t="str">
        <f>MLIST!A39</f>
        <v>Electronics</v>
      </c>
      <c r="B51" t="str">
        <f>MLIST!D39</f>
        <v>Desktop - New</v>
      </c>
      <c r="C51" t="s">
        <v>488</v>
      </c>
      <c r="D51" s="30">
        <f t="shared" si="6"/>
        <v>0.45</v>
      </c>
      <c r="E51" s="30">
        <f t="shared" si="6"/>
        <v>0.66</v>
      </c>
      <c r="F51" s="30">
        <f t="shared" si="6"/>
        <v>0.8</v>
      </c>
      <c r="G51" s="30">
        <f t="shared" si="6"/>
        <v>0.89</v>
      </c>
      <c r="H51" s="30">
        <f t="shared" si="6"/>
        <v>0.94954036260972652</v>
      </c>
      <c r="I51" s="30">
        <f t="shared" si="6"/>
        <v>0.97931054391458994</v>
      </c>
      <c r="J51" s="30">
        <f t="shared" si="6"/>
        <v>0.99254173560564019</v>
      </c>
      <c r="K51" s="30">
        <f t="shared" si="6"/>
        <v>0.99783421228206048</v>
      </c>
      <c r="L51" s="30">
        <f t="shared" si="6"/>
        <v>0.99975874925530417</v>
      </c>
      <c r="M51" s="30">
        <f t="shared" si="6"/>
        <v>1.0004002615797187</v>
      </c>
      <c r="N51" s="30">
        <f t="shared" si="6"/>
        <v>1.0005976499872309</v>
      </c>
      <c r="O51" s="30">
        <f t="shared" si="6"/>
        <v>1.0006540466750915</v>
      </c>
      <c r="P51" s="30">
        <f t="shared" si="6"/>
        <v>1.0006690857918545</v>
      </c>
      <c r="Q51" s="30">
        <f t="shared" si="6"/>
        <v>1.000672845571045</v>
      </c>
      <c r="R51" s="30">
        <f t="shared" si="6"/>
        <v>1.0006737302249724</v>
      </c>
      <c r="S51" s="30">
        <f t="shared" si="6"/>
        <v>1.0006739268147338</v>
      </c>
      <c r="T51" s="30">
        <f t="shared" si="5"/>
        <v>1.0006739682020522</v>
      </c>
      <c r="U51" s="30">
        <f t="shared" si="5"/>
        <v>1.0006739764795158</v>
      </c>
      <c r="V51" s="30">
        <f t="shared" si="5"/>
        <v>1.0006739780561755</v>
      </c>
      <c r="W51" s="30">
        <f t="shared" si="5"/>
        <v>1.0006739783428409</v>
      </c>
      <c r="X51" s="30"/>
      <c r="Z51" s="30" t="b">
        <f t="shared" si="4"/>
        <v>1</v>
      </c>
    </row>
    <row r="52" spans="1:26">
      <c r="A52" t="str">
        <f>MLIST!A40</f>
        <v>Electronics</v>
      </c>
      <c r="B52" t="str">
        <f>MLIST!D40</f>
        <v>Desktop - NR</v>
      </c>
      <c r="C52" t="s">
        <v>488</v>
      </c>
      <c r="D52" s="30">
        <f t="shared" si="6"/>
        <v>0.45</v>
      </c>
      <c r="E52" s="30">
        <f t="shared" si="6"/>
        <v>0.66</v>
      </c>
      <c r="F52" s="30">
        <f t="shared" si="6"/>
        <v>0.8</v>
      </c>
      <c r="G52" s="30">
        <f t="shared" si="6"/>
        <v>0.89</v>
      </c>
      <c r="H52" s="30">
        <f t="shared" si="6"/>
        <v>0.94954036260972652</v>
      </c>
      <c r="I52" s="30">
        <f t="shared" si="6"/>
        <v>0.97931054391458994</v>
      </c>
      <c r="J52" s="30">
        <f t="shared" si="6"/>
        <v>0.99254173560564019</v>
      </c>
      <c r="K52" s="30">
        <f t="shared" si="6"/>
        <v>0.99783421228206048</v>
      </c>
      <c r="L52" s="30">
        <f t="shared" si="6"/>
        <v>0.99975874925530417</v>
      </c>
      <c r="M52" s="30">
        <f t="shared" si="6"/>
        <v>1.0004002615797187</v>
      </c>
      <c r="N52" s="30">
        <f t="shared" si="6"/>
        <v>1.0005976499872309</v>
      </c>
      <c r="O52" s="30">
        <f t="shared" si="6"/>
        <v>1.0006540466750915</v>
      </c>
      <c r="P52" s="30">
        <f t="shared" si="6"/>
        <v>1.0006690857918545</v>
      </c>
      <c r="Q52" s="30">
        <f t="shared" si="6"/>
        <v>1.000672845571045</v>
      </c>
      <c r="R52" s="30">
        <f t="shared" si="6"/>
        <v>1.0006737302249724</v>
      </c>
      <c r="S52" s="30">
        <f t="shared" ref="S52:W67" si="7">IF(ISBLANK($C52),"",VLOOKUP($C52,$C$1:$X$17,S$19-$D$19+2,FALSE))</f>
        <v>1.0006739268147338</v>
      </c>
      <c r="T52" s="30">
        <f t="shared" si="5"/>
        <v>1.0006739682020522</v>
      </c>
      <c r="U52" s="30">
        <f t="shared" si="5"/>
        <v>1.0006739764795158</v>
      </c>
      <c r="V52" s="30">
        <f t="shared" si="5"/>
        <v>1.0006739780561755</v>
      </c>
      <c r="W52" s="30">
        <f t="shared" si="5"/>
        <v>1.0006739783428409</v>
      </c>
      <c r="X52" s="30"/>
      <c r="Z52" s="30" t="b">
        <f t="shared" si="4"/>
        <v>1</v>
      </c>
    </row>
    <row r="53" spans="1:26">
      <c r="A53" t="str">
        <f>MLIST!A41</f>
        <v>Electronics</v>
      </c>
      <c r="B53" t="str">
        <f>MLIST!D41</f>
        <v>Laptop - New</v>
      </c>
      <c r="C53" t="s">
        <v>488</v>
      </c>
      <c r="D53" s="30">
        <f t="shared" ref="D53:S68" si="8">IF(ISBLANK($C53),"",VLOOKUP($C53,$C$1:$X$17,D$19-$D$19+2,FALSE))</f>
        <v>0.45</v>
      </c>
      <c r="E53" s="30">
        <f t="shared" si="8"/>
        <v>0.66</v>
      </c>
      <c r="F53" s="30">
        <f t="shared" si="8"/>
        <v>0.8</v>
      </c>
      <c r="G53" s="30">
        <f t="shared" si="8"/>
        <v>0.89</v>
      </c>
      <c r="H53" s="30">
        <f t="shared" si="8"/>
        <v>0.94954036260972652</v>
      </c>
      <c r="I53" s="30">
        <f t="shared" si="8"/>
        <v>0.97931054391458994</v>
      </c>
      <c r="J53" s="30">
        <f t="shared" si="8"/>
        <v>0.99254173560564019</v>
      </c>
      <c r="K53" s="30">
        <f t="shared" si="8"/>
        <v>0.99783421228206048</v>
      </c>
      <c r="L53" s="30">
        <f t="shared" si="8"/>
        <v>0.99975874925530417</v>
      </c>
      <c r="M53" s="30">
        <f t="shared" si="8"/>
        <v>1.0004002615797187</v>
      </c>
      <c r="N53" s="30">
        <f t="shared" si="8"/>
        <v>1.0005976499872309</v>
      </c>
      <c r="O53" s="30">
        <f t="shared" si="8"/>
        <v>1.0006540466750915</v>
      </c>
      <c r="P53" s="30">
        <f t="shared" si="8"/>
        <v>1.0006690857918545</v>
      </c>
      <c r="Q53" s="30">
        <f t="shared" si="8"/>
        <v>1.000672845571045</v>
      </c>
      <c r="R53" s="30">
        <f t="shared" si="8"/>
        <v>1.0006737302249724</v>
      </c>
      <c r="S53" s="30">
        <f t="shared" si="7"/>
        <v>1.0006739268147338</v>
      </c>
      <c r="T53" s="30">
        <f t="shared" si="5"/>
        <v>1.0006739682020522</v>
      </c>
      <c r="U53" s="30">
        <f t="shared" si="5"/>
        <v>1.0006739764795158</v>
      </c>
      <c r="V53" s="30">
        <f t="shared" si="5"/>
        <v>1.0006739780561755</v>
      </c>
      <c r="W53" s="30">
        <f t="shared" si="5"/>
        <v>1.0006739783428409</v>
      </c>
      <c r="X53" s="30"/>
      <c r="Z53" s="30" t="b">
        <f t="shared" ref="Z53:Z56" si="9">IF(IF(OR(RIGHT(B53,2)="NR",RIGHT(B53,2)="ew"),"LO","Re")=LEFT(C53,2),TRUE,FALSE)</f>
        <v>1</v>
      </c>
    </row>
    <row r="54" spans="1:26">
      <c r="A54" t="str">
        <f>MLIST!A42</f>
        <v>Electronics</v>
      </c>
      <c r="B54" t="str">
        <f>MLIST!D42</f>
        <v>Laptop - NR</v>
      </c>
      <c r="C54" t="s">
        <v>488</v>
      </c>
      <c r="D54" s="30">
        <f t="shared" si="8"/>
        <v>0.45</v>
      </c>
      <c r="E54" s="30">
        <f t="shared" si="8"/>
        <v>0.66</v>
      </c>
      <c r="F54" s="30">
        <f t="shared" si="8"/>
        <v>0.8</v>
      </c>
      <c r="G54" s="30">
        <f t="shared" si="8"/>
        <v>0.89</v>
      </c>
      <c r="H54" s="30">
        <f t="shared" si="8"/>
        <v>0.94954036260972652</v>
      </c>
      <c r="I54" s="30">
        <f t="shared" si="8"/>
        <v>0.97931054391458994</v>
      </c>
      <c r="J54" s="30">
        <f t="shared" si="8"/>
        <v>0.99254173560564019</v>
      </c>
      <c r="K54" s="30">
        <f t="shared" si="8"/>
        <v>0.99783421228206048</v>
      </c>
      <c r="L54" s="30">
        <f t="shared" si="8"/>
        <v>0.99975874925530417</v>
      </c>
      <c r="M54" s="30">
        <f t="shared" si="8"/>
        <v>1.0004002615797187</v>
      </c>
      <c r="N54" s="30">
        <f t="shared" si="8"/>
        <v>1.0005976499872309</v>
      </c>
      <c r="O54" s="30">
        <f t="shared" si="8"/>
        <v>1.0006540466750915</v>
      </c>
      <c r="P54" s="30">
        <f t="shared" si="8"/>
        <v>1.0006690857918545</v>
      </c>
      <c r="Q54" s="30">
        <f t="shared" si="8"/>
        <v>1.000672845571045</v>
      </c>
      <c r="R54" s="30">
        <f t="shared" si="8"/>
        <v>1.0006737302249724</v>
      </c>
      <c r="S54" s="30">
        <f t="shared" si="7"/>
        <v>1.0006739268147338</v>
      </c>
      <c r="T54" s="30">
        <f t="shared" si="5"/>
        <v>1.0006739682020522</v>
      </c>
      <c r="U54" s="30">
        <f t="shared" si="5"/>
        <v>1.0006739764795158</v>
      </c>
      <c r="V54" s="30">
        <f t="shared" si="5"/>
        <v>1.0006739780561755</v>
      </c>
      <c r="W54" s="30">
        <f t="shared" si="5"/>
        <v>1.0006739783428409</v>
      </c>
      <c r="X54" s="30"/>
      <c r="Z54" s="30" t="b">
        <f t="shared" si="9"/>
        <v>1</v>
      </c>
    </row>
    <row r="55" spans="1:26">
      <c r="A55" t="str">
        <f>MLIST!A43</f>
        <v>Electronics</v>
      </c>
      <c r="B55" t="str">
        <f>MLIST!D43</f>
        <v>Computer - New</v>
      </c>
      <c r="C55" t="s">
        <v>488</v>
      </c>
      <c r="D55" s="30">
        <f t="shared" si="8"/>
        <v>0.45</v>
      </c>
      <c r="E55" s="30">
        <f t="shared" si="8"/>
        <v>0.66</v>
      </c>
      <c r="F55" s="30">
        <f t="shared" si="8"/>
        <v>0.8</v>
      </c>
      <c r="G55" s="30">
        <f t="shared" si="8"/>
        <v>0.89</v>
      </c>
      <c r="H55" s="30">
        <f t="shared" si="8"/>
        <v>0.94954036260972652</v>
      </c>
      <c r="I55" s="30">
        <f t="shared" si="8"/>
        <v>0.97931054391458994</v>
      </c>
      <c r="J55" s="30">
        <f t="shared" si="8"/>
        <v>0.99254173560564019</v>
      </c>
      <c r="K55" s="30">
        <f t="shared" si="8"/>
        <v>0.99783421228206048</v>
      </c>
      <c r="L55" s="30">
        <f t="shared" si="8"/>
        <v>0.99975874925530417</v>
      </c>
      <c r="M55" s="30">
        <f t="shared" si="8"/>
        <v>1.0004002615797187</v>
      </c>
      <c r="N55" s="30">
        <f t="shared" si="8"/>
        <v>1.0005976499872309</v>
      </c>
      <c r="O55" s="30">
        <f t="shared" si="8"/>
        <v>1.0006540466750915</v>
      </c>
      <c r="P55" s="30">
        <f t="shared" si="8"/>
        <v>1.0006690857918545</v>
      </c>
      <c r="Q55" s="30">
        <f t="shared" si="8"/>
        <v>1.000672845571045</v>
      </c>
      <c r="R55" s="30">
        <f t="shared" si="8"/>
        <v>1.0006737302249724</v>
      </c>
      <c r="S55" s="30">
        <f t="shared" si="7"/>
        <v>1.0006739268147338</v>
      </c>
      <c r="T55" s="30">
        <f t="shared" si="7"/>
        <v>1.0006739682020522</v>
      </c>
      <c r="U55" s="30">
        <f t="shared" si="7"/>
        <v>1.0006739764795158</v>
      </c>
      <c r="V55" s="30">
        <f t="shared" si="7"/>
        <v>1.0006739780561755</v>
      </c>
      <c r="W55" s="30">
        <f t="shared" si="7"/>
        <v>1.0006739783428409</v>
      </c>
      <c r="X55" s="30"/>
      <c r="Z55" s="30" t="b">
        <f t="shared" si="9"/>
        <v>1</v>
      </c>
    </row>
    <row r="56" spans="1:26">
      <c r="A56" t="str">
        <f>MLIST!A44</f>
        <v>Electronics</v>
      </c>
      <c r="B56" t="str">
        <f>MLIST!D44</f>
        <v>Computer - NR</v>
      </c>
      <c r="C56" t="s">
        <v>488</v>
      </c>
      <c r="D56" s="30">
        <f t="shared" si="8"/>
        <v>0.45</v>
      </c>
      <c r="E56" s="30">
        <f t="shared" si="8"/>
        <v>0.66</v>
      </c>
      <c r="F56" s="30">
        <f t="shared" si="8"/>
        <v>0.8</v>
      </c>
      <c r="G56" s="30">
        <f t="shared" si="8"/>
        <v>0.89</v>
      </c>
      <c r="H56" s="30">
        <f t="shared" si="8"/>
        <v>0.94954036260972652</v>
      </c>
      <c r="I56" s="30">
        <f t="shared" si="8"/>
        <v>0.97931054391458994</v>
      </c>
      <c r="J56" s="30">
        <f t="shared" si="8"/>
        <v>0.99254173560564019</v>
      </c>
      <c r="K56" s="30">
        <f t="shared" si="8"/>
        <v>0.99783421228206048</v>
      </c>
      <c r="L56" s="30">
        <f t="shared" si="8"/>
        <v>0.99975874925530417</v>
      </c>
      <c r="M56" s="30">
        <f t="shared" si="8"/>
        <v>1.0004002615797187</v>
      </c>
      <c r="N56" s="30">
        <f t="shared" si="8"/>
        <v>1.0005976499872309</v>
      </c>
      <c r="O56" s="30">
        <f t="shared" si="8"/>
        <v>1.0006540466750915</v>
      </c>
      <c r="P56" s="30">
        <f t="shared" si="8"/>
        <v>1.0006690857918545</v>
      </c>
      <c r="Q56" s="30">
        <f t="shared" si="8"/>
        <v>1.000672845571045</v>
      </c>
      <c r="R56" s="30">
        <f t="shared" si="8"/>
        <v>1.0006737302249724</v>
      </c>
      <c r="S56" s="30">
        <f t="shared" si="7"/>
        <v>1.0006739268147338</v>
      </c>
      <c r="T56" s="30">
        <f t="shared" si="7"/>
        <v>1.0006739682020522</v>
      </c>
      <c r="U56" s="30">
        <f t="shared" si="7"/>
        <v>1.0006739764795158</v>
      </c>
      <c r="V56" s="30">
        <f t="shared" si="7"/>
        <v>1.0006739780561755</v>
      </c>
      <c r="W56" s="30">
        <f t="shared" si="7"/>
        <v>1.0006739783428409</v>
      </c>
      <c r="X56" s="30"/>
      <c r="Z56" s="30" t="b">
        <f t="shared" si="9"/>
        <v>1</v>
      </c>
    </row>
    <row r="57" spans="1:26">
      <c r="A57" t="str">
        <f>MLIST!A45</f>
        <v>HVAC</v>
      </c>
      <c r="B57" t="str">
        <f>MLIST!D45</f>
        <v>ASHP - New</v>
      </c>
      <c r="C57" t="s">
        <v>500</v>
      </c>
      <c r="D57" s="30">
        <f t="shared" si="8"/>
        <v>4.2999999999999997E-2</v>
      </c>
      <c r="E57" s="30">
        <f t="shared" si="8"/>
        <v>9.5797142280278316E-2</v>
      </c>
      <c r="F57" s="30">
        <f t="shared" si="8"/>
        <v>0.16040539374775648</v>
      </c>
      <c r="G57" s="30">
        <f t="shared" si="8"/>
        <v>0.23540539374775649</v>
      </c>
      <c r="H57" s="30">
        <f t="shared" si="8"/>
        <v>0.32095239121809005</v>
      </c>
      <c r="I57" s="30">
        <f t="shared" si="8"/>
        <v>0.42096711425629652</v>
      </c>
      <c r="J57" s="30">
        <f t="shared" si="8"/>
        <v>0.53068481860864725</v>
      </c>
      <c r="K57" s="30">
        <f t="shared" si="8"/>
        <v>0.642769203728351</v>
      </c>
      <c r="L57" s="30">
        <f t="shared" si="8"/>
        <v>0.74839528535557953</v>
      </c>
      <c r="M57" s="30">
        <f t="shared" si="8"/>
        <v>0.83918984935345187</v>
      </c>
      <c r="N57" s="30">
        <f t="shared" si="8"/>
        <v>0.90945051634530116</v>
      </c>
      <c r="O57" s="30">
        <f t="shared" si="8"/>
        <v>0.9576688767502457</v>
      </c>
      <c r="P57" s="30">
        <f t="shared" si="8"/>
        <v>0.9865231113648858</v>
      </c>
      <c r="Q57" s="30">
        <f t="shared" si="8"/>
        <v>1.0012970762896924</v>
      </c>
      <c r="R57" s="30">
        <f t="shared" si="8"/>
        <v>1.0076356106578106</v>
      </c>
      <c r="S57" s="30">
        <f t="shared" si="7"/>
        <v>1.0098624683774413</v>
      </c>
      <c r="T57" s="30">
        <f t="shared" si="7"/>
        <v>1.0104871783970797</v>
      </c>
      <c r="U57" s="30">
        <f t="shared" si="7"/>
        <v>1.010623336815976</v>
      </c>
      <c r="V57" s="30">
        <f t="shared" si="7"/>
        <v>1.0106457174525985</v>
      </c>
      <c r="W57" s="30">
        <f t="shared" si="7"/>
        <v>1.0106484038909742</v>
      </c>
      <c r="X57" s="30"/>
      <c r="Z57" s="30" t="b">
        <f t="shared" si="4"/>
        <v>1</v>
      </c>
    </row>
    <row r="58" spans="1:26">
      <c r="A58" t="str">
        <f>MLIST!A46</f>
        <v>HVAC</v>
      </c>
      <c r="B58" t="str">
        <f>MLIST!D46</f>
        <v>ASHP - NR</v>
      </c>
      <c r="C58" t="s">
        <v>500</v>
      </c>
      <c r="D58" s="30">
        <f t="shared" si="8"/>
        <v>4.2999999999999997E-2</v>
      </c>
      <c r="E58" s="30">
        <f t="shared" si="8"/>
        <v>9.5797142280278316E-2</v>
      </c>
      <c r="F58" s="30">
        <f t="shared" si="8"/>
        <v>0.16040539374775648</v>
      </c>
      <c r="G58" s="30">
        <f t="shared" si="8"/>
        <v>0.23540539374775649</v>
      </c>
      <c r="H58" s="30">
        <f t="shared" si="8"/>
        <v>0.32095239121809005</v>
      </c>
      <c r="I58" s="30">
        <f t="shared" si="8"/>
        <v>0.42096711425629652</v>
      </c>
      <c r="J58" s="30">
        <f t="shared" si="8"/>
        <v>0.53068481860864725</v>
      </c>
      <c r="K58" s="30">
        <f t="shared" si="8"/>
        <v>0.642769203728351</v>
      </c>
      <c r="L58" s="30">
        <f t="shared" si="8"/>
        <v>0.74839528535557953</v>
      </c>
      <c r="M58" s="30">
        <f t="shared" si="8"/>
        <v>0.83918984935345187</v>
      </c>
      <c r="N58" s="30">
        <f t="shared" si="8"/>
        <v>0.90945051634530116</v>
      </c>
      <c r="O58" s="30">
        <f t="shared" si="8"/>
        <v>0.9576688767502457</v>
      </c>
      <c r="P58" s="30">
        <f t="shared" si="8"/>
        <v>0.9865231113648858</v>
      </c>
      <c r="Q58" s="30">
        <f t="shared" si="8"/>
        <v>1.0012970762896924</v>
      </c>
      <c r="R58" s="30">
        <f t="shared" si="8"/>
        <v>1.0076356106578106</v>
      </c>
      <c r="S58" s="30">
        <f t="shared" si="7"/>
        <v>1.0098624683774413</v>
      </c>
      <c r="T58" s="30">
        <f t="shared" si="7"/>
        <v>1.0104871783970797</v>
      </c>
      <c r="U58" s="30">
        <f t="shared" si="7"/>
        <v>1.010623336815976</v>
      </c>
      <c r="V58" s="30">
        <f t="shared" si="7"/>
        <v>1.0106457174525985</v>
      </c>
      <c r="W58" s="30">
        <f t="shared" si="7"/>
        <v>1.0106484038909742</v>
      </c>
      <c r="X58" s="30"/>
      <c r="Z58" s="30" t="b">
        <f t="shared" si="4"/>
        <v>1</v>
      </c>
    </row>
    <row r="59" spans="1:26">
      <c r="A59" t="str">
        <f>MLIST!A47</f>
        <v>HVAC</v>
      </c>
      <c r="B59" t="str">
        <f>MLIST!D47</f>
        <v>HP - Retro</v>
      </c>
      <c r="C59" s="8" t="s">
        <v>482</v>
      </c>
      <c r="D59" s="30">
        <f t="shared" si="8"/>
        <v>0.10937459468255628</v>
      </c>
      <c r="E59" s="30">
        <f t="shared" si="8"/>
        <v>0.10937459468255628</v>
      </c>
      <c r="F59" s="30">
        <f t="shared" si="8"/>
        <v>0.10937459468255628</v>
      </c>
      <c r="G59" s="30">
        <f t="shared" si="8"/>
        <v>0.10937459468255628</v>
      </c>
      <c r="H59" s="30">
        <f t="shared" si="8"/>
        <v>0.10937459468255628</v>
      </c>
      <c r="I59" s="30">
        <f t="shared" si="8"/>
        <v>9.8437135214300656E-2</v>
      </c>
      <c r="J59" s="30">
        <f t="shared" si="8"/>
        <v>7.874970817144053E-2</v>
      </c>
      <c r="K59" s="30">
        <f t="shared" si="8"/>
        <v>6.2999766537152418E-2</v>
      </c>
      <c r="L59" s="30">
        <f t="shared" si="8"/>
        <v>5.0399813229721938E-2</v>
      </c>
      <c r="M59" s="30">
        <f t="shared" si="8"/>
        <v>4.0319850583777551E-2</v>
      </c>
      <c r="N59" s="30">
        <f t="shared" si="8"/>
        <v>3.225588046702204E-2</v>
      </c>
      <c r="O59" s="30">
        <f t="shared" si="8"/>
        <v>2.5804704373617631E-2</v>
      </c>
      <c r="P59" s="30">
        <f t="shared" si="8"/>
        <v>2.0643763498894106E-2</v>
      </c>
      <c r="Q59" s="30">
        <f t="shared" si="8"/>
        <v>1.6515010799115284E-2</v>
      </c>
      <c r="R59" s="30">
        <f t="shared" si="8"/>
        <v>1.3212008639292228E-2</v>
      </c>
      <c r="S59" s="30">
        <f t="shared" si="7"/>
        <v>1.0569606911433781E-2</v>
      </c>
      <c r="T59" s="30">
        <f t="shared" si="7"/>
        <v>7.2092823794611682E-5</v>
      </c>
      <c r="U59" s="30">
        <f t="shared" si="7"/>
        <v>2.5747437069512102E-5</v>
      </c>
      <c r="V59" s="30">
        <f t="shared" si="7"/>
        <v>8.7775353646568632E-6</v>
      </c>
      <c r="W59" s="30">
        <f t="shared" si="7"/>
        <v>2.8622397928446119E-6</v>
      </c>
      <c r="X59" s="30"/>
      <c r="Z59" s="30" t="b">
        <f t="shared" si="4"/>
        <v>1</v>
      </c>
    </row>
    <row r="60" spans="1:26">
      <c r="A60" t="str">
        <f>MLIST!A48</f>
        <v>HVAC</v>
      </c>
      <c r="B60" t="str">
        <f>MLIST!D48</f>
        <v>DHP - New</v>
      </c>
      <c r="C60" t="s">
        <v>500</v>
      </c>
      <c r="D60" s="30">
        <f t="shared" si="8"/>
        <v>4.2999999999999997E-2</v>
      </c>
      <c r="E60" s="30">
        <f t="shared" si="8"/>
        <v>9.5797142280278316E-2</v>
      </c>
      <c r="F60" s="30">
        <f t="shared" si="8"/>
        <v>0.16040539374775648</v>
      </c>
      <c r="G60" s="30">
        <f t="shared" si="8"/>
        <v>0.23540539374775649</v>
      </c>
      <c r="H60" s="30">
        <f t="shared" si="8"/>
        <v>0.32095239121809005</v>
      </c>
      <c r="I60" s="30">
        <f t="shared" si="8"/>
        <v>0.42096711425629652</v>
      </c>
      <c r="J60" s="30">
        <f t="shared" si="8"/>
        <v>0.53068481860864725</v>
      </c>
      <c r="K60" s="30">
        <f t="shared" si="8"/>
        <v>0.642769203728351</v>
      </c>
      <c r="L60" s="30">
        <f t="shared" si="8"/>
        <v>0.74839528535557953</v>
      </c>
      <c r="M60" s="30">
        <f t="shared" si="8"/>
        <v>0.83918984935345187</v>
      </c>
      <c r="N60" s="30">
        <f t="shared" si="8"/>
        <v>0.90945051634530116</v>
      </c>
      <c r="O60" s="30">
        <f t="shared" si="8"/>
        <v>0.9576688767502457</v>
      </c>
      <c r="P60" s="30">
        <f t="shared" si="8"/>
        <v>0.9865231113648858</v>
      </c>
      <c r="Q60" s="30">
        <f t="shared" si="8"/>
        <v>1.0012970762896924</v>
      </c>
      <c r="R60" s="30">
        <f t="shared" si="8"/>
        <v>1.0076356106578106</v>
      </c>
      <c r="S60" s="30">
        <f t="shared" si="7"/>
        <v>1.0098624683774413</v>
      </c>
      <c r="T60" s="30">
        <f t="shared" si="7"/>
        <v>1.0104871783970797</v>
      </c>
      <c r="U60" s="30">
        <f t="shared" si="7"/>
        <v>1.010623336815976</v>
      </c>
      <c r="V60" s="30">
        <f t="shared" si="7"/>
        <v>1.0106457174525985</v>
      </c>
      <c r="W60" s="30">
        <f t="shared" si="7"/>
        <v>1.0106484038909742</v>
      </c>
      <c r="X60" s="30"/>
      <c r="Z60" s="30" t="b">
        <f t="shared" si="4"/>
        <v>1</v>
      </c>
    </row>
    <row r="61" spans="1:26">
      <c r="A61" t="str">
        <f>MLIST!A49</f>
        <v>HVAC</v>
      </c>
      <c r="B61" t="str">
        <f>MLIST!D49</f>
        <v>DHP - NR</v>
      </c>
      <c r="C61" t="s">
        <v>500</v>
      </c>
      <c r="D61" s="30">
        <f t="shared" si="8"/>
        <v>4.2999999999999997E-2</v>
      </c>
      <c r="E61" s="30">
        <f t="shared" si="8"/>
        <v>9.5797142280278316E-2</v>
      </c>
      <c r="F61" s="30">
        <f t="shared" si="8"/>
        <v>0.16040539374775648</v>
      </c>
      <c r="G61" s="30">
        <f t="shared" si="8"/>
        <v>0.23540539374775649</v>
      </c>
      <c r="H61" s="30">
        <f t="shared" si="8"/>
        <v>0.32095239121809005</v>
      </c>
      <c r="I61" s="30">
        <f t="shared" si="8"/>
        <v>0.42096711425629652</v>
      </c>
      <c r="J61" s="30">
        <f t="shared" si="8"/>
        <v>0.53068481860864725</v>
      </c>
      <c r="K61" s="30">
        <f t="shared" si="8"/>
        <v>0.642769203728351</v>
      </c>
      <c r="L61" s="30">
        <f t="shared" si="8"/>
        <v>0.74839528535557953</v>
      </c>
      <c r="M61" s="30">
        <f t="shared" si="8"/>
        <v>0.83918984935345187</v>
      </c>
      <c r="N61" s="30">
        <f t="shared" si="8"/>
        <v>0.90945051634530116</v>
      </c>
      <c r="O61" s="30">
        <f t="shared" si="8"/>
        <v>0.9576688767502457</v>
      </c>
      <c r="P61" s="30">
        <f t="shared" si="8"/>
        <v>0.9865231113648858</v>
      </c>
      <c r="Q61" s="30">
        <f t="shared" si="8"/>
        <v>1.0012970762896924</v>
      </c>
      <c r="R61" s="30">
        <f t="shared" si="8"/>
        <v>1.0076356106578106</v>
      </c>
      <c r="S61" s="30">
        <f t="shared" si="7"/>
        <v>1.0098624683774413</v>
      </c>
      <c r="T61" s="30">
        <f t="shared" si="7"/>
        <v>1.0104871783970797</v>
      </c>
      <c r="U61" s="30">
        <f t="shared" si="7"/>
        <v>1.010623336815976</v>
      </c>
      <c r="V61" s="30">
        <f t="shared" si="7"/>
        <v>1.0106457174525985</v>
      </c>
      <c r="W61" s="30">
        <f t="shared" si="7"/>
        <v>1.0106484038909742</v>
      </c>
      <c r="X61" s="30"/>
      <c r="Z61" s="30" t="b">
        <f t="shared" si="4"/>
        <v>1</v>
      </c>
    </row>
    <row r="62" spans="1:26">
      <c r="A62" t="str">
        <f>MLIST!A50</f>
        <v>HVAC</v>
      </c>
      <c r="B62" t="str">
        <f>MLIST!D50</f>
        <v>DHP - Retro</v>
      </c>
      <c r="C62" s="8" t="s">
        <v>499</v>
      </c>
      <c r="D62" s="30">
        <f t="shared" si="8"/>
        <v>4.2999999999999997E-2</v>
      </c>
      <c r="E62" s="30">
        <f t="shared" si="8"/>
        <v>5.279714228027832E-2</v>
      </c>
      <c r="F62" s="30">
        <f t="shared" si="8"/>
        <v>6.4608251467478173E-2</v>
      </c>
      <c r="G62" s="30">
        <f t="shared" si="8"/>
        <v>7.4999999999999997E-2</v>
      </c>
      <c r="H62" s="30">
        <f t="shared" si="8"/>
        <v>8.5546997470333563E-2</v>
      </c>
      <c r="I62" s="30">
        <f t="shared" si="8"/>
        <v>0.10001472303820647</v>
      </c>
      <c r="J62" s="30">
        <f t="shared" si="8"/>
        <v>0.10971770435235073</v>
      </c>
      <c r="K62" s="30">
        <f t="shared" si="8"/>
        <v>0.11208438511970376</v>
      </c>
      <c r="L62" s="30">
        <f t="shared" si="8"/>
        <v>0.10562608162722853</v>
      </c>
      <c r="M62" s="30">
        <f t="shared" si="8"/>
        <v>9.0794563997872335E-2</v>
      </c>
      <c r="N62" s="30">
        <f t="shared" si="8"/>
        <v>7.0260666991849297E-2</v>
      </c>
      <c r="O62" s="30">
        <f t="shared" si="8"/>
        <v>4.8218360404944538E-2</v>
      </c>
      <c r="P62" s="30">
        <f t="shared" si="8"/>
        <v>2.8854234614640095E-2</v>
      </c>
      <c r="Q62" s="30">
        <f t="shared" si="8"/>
        <v>1.4773964924806759E-2</v>
      </c>
      <c r="R62" s="30">
        <f t="shared" si="8"/>
        <v>6.3385343681182649E-3</v>
      </c>
      <c r="S62" s="30">
        <f t="shared" si="7"/>
        <v>2.2268577196306039E-3</v>
      </c>
      <c r="T62" s="30">
        <f t="shared" si="7"/>
        <v>6.2471001963848583E-4</v>
      </c>
      <c r="U62" s="30">
        <f t="shared" si="7"/>
        <v>1.3615841889635938E-4</v>
      </c>
      <c r="V62" s="30">
        <f t="shared" si="7"/>
        <v>2.2380636622298944E-5</v>
      </c>
      <c r="W62" s="30">
        <f t="shared" si="7"/>
        <v>2.68643837586513E-6</v>
      </c>
      <c r="X62" s="30"/>
      <c r="Z62" s="30" t="b">
        <f t="shared" si="4"/>
        <v>1</v>
      </c>
    </row>
    <row r="63" spans="1:26">
      <c r="A63" t="str">
        <f>MLIST!A51</f>
        <v>HVAC</v>
      </c>
      <c r="B63" t="str">
        <f>MLIST!D51</f>
        <v>Duct Sealing - New</v>
      </c>
      <c r="C63" t="s">
        <v>487</v>
      </c>
      <c r="D63" s="30">
        <f t="shared" si="8"/>
        <v>0.10937459468255628</v>
      </c>
      <c r="E63" s="30">
        <f t="shared" si="8"/>
        <v>0.21874918936511256</v>
      </c>
      <c r="F63" s="30">
        <f t="shared" si="8"/>
        <v>0.32812378404766884</v>
      </c>
      <c r="G63" s="30">
        <f t="shared" si="8"/>
        <v>0.43749837873022512</v>
      </c>
      <c r="H63" s="30">
        <f t="shared" si="8"/>
        <v>0.5468729734127814</v>
      </c>
      <c r="I63" s="30">
        <f t="shared" si="8"/>
        <v>0.64531010862708205</v>
      </c>
      <c r="J63" s="30">
        <f t="shared" si="8"/>
        <v>0.7240598167985226</v>
      </c>
      <c r="K63" s="30">
        <f t="shared" si="8"/>
        <v>0.78705958333567505</v>
      </c>
      <c r="L63" s="30">
        <f t="shared" si="8"/>
        <v>0.83745939656539703</v>
      </c>
      <c r="M63" s="30">
        <f t="shared" si="8"/>
        <v>0.87777924714917455</v>
      </c>
      <c r="N63" s="30">
        <f t="shared" si="8"/>
        <v>0.91003512761619654</v>
      </c>
      <c r="O63" s="30">
        <f t="shared" si="8"/>
        <v>0.93583983198981413</v>
      </c>
      <c r="P63" s="30">
        <f t="shared" si="8"/>
        <v>0.9564835954887082</v>
      </c>
      <c r="Q63" s="30">
        <f t="shared" si="8"/>
        <v>0.97299860628782353</v>
      </c>
      <c r="R63" s="30">
        <f t="shared" si="8"/>
        <v>0.9862106149271157</v>
      </c>
      <c r="S63" s="30">
        <f t="shared" si="7"/>
        <v>0.99678022183854953</v>
      </c>
      <c r="T63" s="30">
        <f t="shared" si="7"/>
        <v>0.99685231466234414</v>
      </c>
      <c r="U63" s="30">
        <f t="shared" si="7"/>
        <v>0.99687806209941365</v>
      </c>
      <c r="V63" s="30">
        <f t="shared" si="7"/>
        <v>0.99688683963477831</v>
      </c>
      <c r="W63" s="30">
        <f t="shared" si="7"/>
        <v>0.99688970187457115</v>
      </c>
      <c r="X63" s="30"/>
      <c r="Z63" s="30" t="b">
        <f t="shared" si="4"/>
        <v>1</v>
      </c>
    </row>
    <row r="64" spans="1:26">
      <c r="A64" t="str">
        <f>MLIST!A52</f>
        <v>HVAC</v>
      </c>
      <c r="B64" t="str">
        <f>MLIST!D52</f>
        <v>Duct Sealing - Retro</v>
      </c>
      <c r="C64" s="8" t="s">
        <v>482</v>
      </c>
      <c r="D64" s="30">
        <f t="shared" si="8"/>
        <v>0.10937459468255628</v>
      </c>
      <c r="E64" s="30">
        <f t="shared" si="8"/>
        <v>0.10937459468255628</v>
      </c>
      <c r="F64" s="30">
        <f t="shared" si="8"/>
        <v>0.10937459468255628</v>
      </c>
      <c r="G64" s="30">
        <f t="shared" si="8"/>
        <v>0.10937459468255628</v>
      </c>
      <c r="H64" s="30">
        <f t="shared" si="8"/>
        <v>0.10937459468255628</v>
      </c>
      <c r="I64" s="30">
        <f t="shared" si="8"/>
        <v>9.8437135214300656E-2</v>
      </c>
      <c r="J64" s="30">
        <f t="shared" si="8"/>
        <v>7.874970817144053E-2</v>
      </c>
      <c r="K64" s="30">
        <f t="shared" si="8"/>
        <v>6.2999766537152418E-2</v>
      </c>
      <c r="L64" s="30">
        <f t="shared" si="8"/>
        <v>5.0399813229721938E-2</v>
      </c>
      <c r="M64" s="30">
        <f t="shared" si="8"/>
        <v>4.0319850583777551E-2</v>
      </c>
      <c r="N64" s="30">
        <f t="shared" si="8"/>
        <v>3.225588046702204E-2</v>
      </c>
      <c r="O64" s="30">
        <f t="shared" si="8"/>
        <v>2.5804704373617631E-2</v>
      </c>
      <c r="P64" s="30">
        <f t="shared" si="8"/>
        <v>2.0643763498894106E-2</v>
      </c>
      <c r="Q64" s="30">
        <f t="shared" si="8"/>
        <v>1.6515010799115284E-2</v>
      </c>
      <c r="R64" s="30">
        <f t="shared" si="8"/>
        <v>1.3212008639292228E-2</v>
      </c>
      <c r="S64" s="30">
        <f t="shared" si="7"/>
        <v>1.0569606911433781E-2</v>
      </c>
      <c r="T64" s="30">
        <f t="shared" si="7"/>
        <v>7.2092823794611682E-5</v>
      </c>
      <c r="U64" s="30">
        <f t="shared" si="7"/>
        <v>2.5747437069512102E-5</v>
      </c>
      <c r="V64" s="30">
        <f t="shared" si="7"/>
        <v>8.7775353646568632E-6</v>
      </c>
      <c r="W64" s="30">
        <f t="shared" si="7"/>
        <v>2.8622397928446119E-6</v>
      </c>
      <c r="X64" s="30"/>
      <c r="Z64" s="30" t="b">
        <f t="shared" si="4"/>
        <v>1</v>
      </c>
    </row>
    <row r="65" spans="1:26">
      <c r="A65" t="str">
        <f>MLIST!A53</f>
        <v>HVAC</v>
      </c>
      <c r="B65" t="str">
        <f>MLIST!D53</f>
        <v>WIFI enabled tstats - New</v>
      </c>
      <c r="C65" t="s">
        <v>500</v>
      </c>
      <c r="D65" s="30">
        <f t="shared" si="8"/>
        <v>4.2999999999999997E-2</v>
      </c>
      <c r="E65" s="30">
        <f t="shared" si="8"/>
        <v>9.5797142280278316E-2</v>
      </c>
      <c r="F65" s="30">
        <f t="shared" si="8"/>
        <v>0.16040539374775648</v>
      </c>
      <c r="G65" s="30">
        <f t="shared" si="8"/>
        <v>0.23540539374775649</v>
      </c>
      <c r="H65" s="30">
        <f t="shared" si="8"/>
        <v>0.32095239121809005</v>
      </c>
      <c r="I65" s="30">
        <f t="shared" si="8"/>
        <v>0.42096711425629652</v>
      </c>
      <c r="J65" s="30">
        <f t="shared" si="8"/>
        <v>0.53068481860864725</v>
      </c>
      <c r="K65" s="30">
        <f t="shared" si="8"/>
        <v>0.642769203728351</v>
      </c>
      <c r="L65" s="30">
        <f t="shared" si="8"/>
        <v>0.74839528535557953</v>
      </c>
      <c r="M65" s="30">
        <f t="shared" si="8"/>
        <v>0.83918984935345187</v>
      </c>
      <c r="N65" s="30">
        <f t="shared" si="8"/>
        <v>0.90945051634530116</v>
      </c>
      <c r="O65" s="30">
        <f t="shared" si="8"/>
        <v>0.9576688767502457</v>
      </c>
      <c r="P65" s="30">
        <f t="shared" si="8"/>
        <v>0.9865231113648858</v>
      </c>
      <c r="Q65" s="30">
        <f t="shared" si="8"/>
        <v>1.0012970762896924</v>
      </c>
      <c r="R65" s="30">
        <f t="shared" si="8"/>
        <v>1.0076356106578106</v>
      </c>
      <c r="S65" s="30">
        <f t="shared" si="7"/>
        <v>1.0098624683774413</v>
      </c>
      <c r="T65" s="30">
        <f t="shared" si="7"/>
        <v>1.0104871783970797</v>
      </c>
      <c r="U65" s="30">
        <f t="shared" si="7"/>
        <v>1.010623336815976</v>
      </c>
      <c r="V65" s="30">
        <f t="shared" si="7"/>
        <v>1.0106457174525985</v>
      </c>
      <c r="W65" s="30">
        <f t="shared" si="7"/>
        <v>1.0106484038909742</v>
      </c>
      <c r="X65" s="30"/>
      <c r="Z65" s="30" t="b">
        <f t="shared" si="4"/>
        <v>1</v>
      </c>
    </row>
    <row r="66" spans="1:26">
      <c r="A66" t="str">
        <f>MLIST!A54</f>
        <v>HVAC</v>
      </c>
      <c r="B66" t="str">
        <f>MLIST!D54</f>
        <v>WIFI enabled tstats - Retro</v>
      </c>
      <c r="C66" s="8" t="s">
        <v>499</v>
      </c>
      <c r="D66" s="30">
        <f t="shared" si="8"/>
        <v>4.2999999999999997E-2</v>
      </c>
      <c r="E66" s="30">
        <f t="shared" si="8"/>
        <v>5.279714228027832E-2</v>
      </c>
      <c r="F66" s="30">
        <f t="shared" si="8"/>
        <v>6.4608251467478173E-2</v>
      </c>
      <c r="G66" s="30">
        <f t="shared" si="8"/>
        <v>7.4999999999999997E-2</v>
      </c>
      <c r="H66" s="30">
        <f t="shared" si="8"/>
        <v>8.5546997470333563E-2</v>
      </c>
      <c r="I66" s="30">
        <f t="shared" si="8"/>
        <v>0.10001472303820647</v>
      </c>
      <c r="J66" s="30">
        <f t="shared" si="8"/>
        <v>0.10971770435235073</v>
      </c>
      <c r="K66" s="30">
        <f t="shared" si="8"/>
        <v>0.11208438511970376</v>
      </c>
      <c r="L66" s="30">
        <f t="shared" si="8"/>
        <v>0.10562608162722853</v>
      </c>
      <c r="M66" s="30">
        <f t="shared" si="8"/>
        <v>9.0794563997872335E-2</v>
      </c>
      <c r="N66" s="30">
        <f t="shared" si="8"/>
        <v>7.0260666991849297E-2</v>
      </c>
      <c r="O66" s="30">
        <f t="shared" si="8"/>
        <v>4.8218360404944538E-2</v>
      </c>
      <c r="P66" s="30">
        <f t="shared" si="8"/>
        <v>2.8854234614640095E-2</v>
      </c>
      <c r="Q66" s="30">
        <f t="shared" si="8"/>
        <v>1.4773964924806759E-2</v>
      </c>
      <c r="R66" s="30">
        <f t="shared" si="8"/>
        <v>6.3385343681182649E-3</v>
      </c>
      <c r="S66" s="30">
        <f t="shared" si="7"/>
        <v>2.2268577196306039E-3</v>
      </c>
      <c r="T66" s="30">
        <f t="shared" si="7"/>
        <v>6.2471001963848583E-4</v>
      </c>
      <c r="U66" s="30">
        <f t="shared" si="7"/>
        <v>1.3615841889635938E-4</v>
      </c>
      <c r="V66" s="30">
        <f t="shared" si="7"/>
        <v>2.2380636622298944E-5</v>
      </c>
      <c r="W66" s="30">
        <f t="shared" si="7"/>
        <v>2.68643837586513E-6</v>
      </c>
      <c r="X66" s="30"/>
      <c r="Z66" s="30" t="b">
        <f t="shared" si="4"/>
        <v>1</v>
      </c>
    </row>
    <row r="67" spans="1:26">
      <c r="A67" t="str">
        <f>MLIST!A55</f>
        <v>HVAC</v>
      </c>
      <c r="B67" t="str">
        <f>MLIST!D55</f>
        <v>Combo DHP/HPWH units - New</v>
      </c>
      <c r="C67" t="s">
        <v>500</v>
      </c>
      <c r="D67" s="30">
        <f t="shared" si="8"/>
        <v>4.2999999999999997E-2</v>
      </c>
      <c r="E67" s="30">
        <f t="shared" si="8"/>
        <v>9.5797142280278316E-2</v>
      </c>
      <c r="F67" s="30">
        <f t="shared" si="8"/>
        <v>0.16040539374775648</v>
      </c>
      <c r="G67" s="30">
        <f t="shared" si="8"/>
        <v>0.23540539374775649</v>
      </c>
      <c r="H67" s="30">
        <f t="shared" si="8"/>
        <v>0.32095239121809005</v>
      </c>
      <c r="I67" s="30">
        <f t="shared" si="8"/>
        <v>0.42096711425629652</v>
      </c>
      <c r="J67" s="30">
        <f t="shared" si="8"/>
        <v>0.53068481860864725</v>
      </c>
      <c r="K67" s="30">
        <f t="shared" si="8"/>
        <v>0.642769203728351</v>
      </c>
      <c r="L67" s="30">
        <f t="shared" si="8"/>
        <v>0.74839528535557953</v>
      </c>
      <c r="M67" s="30">
        <f t="shared" si="8"/>
        <v>0.83918984935345187</v>
      </c>
      <c r="N67" s="30">
        <f t="shared" si="8"/>
        <v>0.90945051634530116</v>
      </c>
      <c r="O67" s="30">
        <f t="shared" si="8"/>
        <v>0.9576688767502457</v>
      </c>
      <c r="P67" s="30">
        <f t="shared" si="8"/>
        <v>0.9865231113648858</v>
      </c>
      <c r="Q67" s="30">
        <f t="shared" si="8"/>
        <v>1.0012970762896924</v>
      </c>
      <c r="R67" s="30">
        <f t="shared" si="8"/>
        <v>1.0076356106578106</v>
      </c>
      <c r="S67" s="30">
        <f t="shared" si="7"/>
        <v>1.0098624683774413</v>
      </c>
      <c r="T67" s="30">
        <f t="shared" si="7"/>
        <v>1.0104871783970797</v>
      </c>
      <c r="U67" s="30">
        <f t="shared" si="7"/>
        <v>1.010623336815976</v>
      </c>
      <c r="V67" s="30">
        <f t="shared" si="7"/>
        <v>1.0106457174525985</v>
      </c>
      <c r="W67" s="30">
        <f t="shared" si="7"/>
        <v>1.0106484038909742</v>
      </c>
      <c r="X67" s="30"/>
      <c r="Z67" s="30" t="b">
        <f t="shared" si="4"/>
        <v>1</v>
      </c>
    </row>
    <row r="68" spans="1:26">
      <c r="A68" t="str">
        <f>MLIST!A56</f>
        <v>HVAC</v>
      </c>
      <c r="B68" t="str">
        <f>MLIST!D56</f>
        <v>Combo DHP/HPWH units - NR</v>
      </c>
      <c r="C68" t="s">
        <v>500</v>
      </c>
      <c r="D68" s="30">
        <f t="shared" si="8"/>
        <v>4.2999999999999997E-2</v>
      </c>
      <c r="E68" s="30">
        <f t="shared" si="8"/>
        <v>9.5797142280278316E-2</v>
      </c>
      <c r="F68" s="30">
        <f t="shared" si="8"/>
        <v>0.16040539374775648</v>
      </c>
      <c r="G68" s="30">
        <f t="shared" si="8"/>
        <v>0.23540539374775649</v>
      </c>
      <c r="H68" s="30">
        <f t="shared" si="8"/>
        <v>0.32095239121809005</v>
      </c>
      <c r="I68" s="30">
        <f t="shared" si="8"/>
        <v>0.42096711425629652</v>
      </c>
      <c r="J68" s="30">
        <f t="shared" si="8"/>
        <v>0.53068481860864725</v>
      </c>
      <c r="K68" s="30">
        <f t="shared" si="8"/>
        <v>0.642769203728351</v>
      </c>
      <c r="L68" s="30">
        <f t="shared" si="8"/>
        <v>0.74839528535557953</v>
      </c>
      <c r="M68" s="30">
        <f t="shared" si="8"/>
        <v>0.83918984935345187</v>
      </c>
      <c r="N68" s="30">
        <f t="shared" si="8"/>
        <v>0.90945051634530116</v>
      </c>
      <c r="O68" s="30">
        <f t="shared" si="8"/>
        <v>0.9576688767502457</v>
      </c>
      <c r="P68" s="30">
        <f t="shared" si="8"/>
        <v>0.9865231113648858</v>
      </c>
      <c r="Q68" s="30">
        <f t="shared" si="8"/>
        <v>1.0012970762896924</v>
      </c>
      <c r="R68" s="30">
        <f t="shared" si="8"/>
        <v>1.0076356106578106</v>
      </c>
      <c r="S68" s="30">
        <f t="shared" si="8"/>
        <v>1.0098624683774413</v>
      </c>
      <c r="T68" s="30">
        <f t="shared" ref="T68:W89" si="10">IF(ISBLANK($C68),"",VLOOKUP($C68,$C$1:$X$17,T$19-$D$19+2,FALSE))</f>
        <v>1.0104871783970797</v>
      </c>
      <c r="U68" s="30">
        <f t="shared" si="10"/>
        <v>1.010623336815976</v>
      </c>
      <c r="V68" s="30">
        <f t="shared" si="10"/>
        <v>1.0106457174525985</v>
      </c>
      <c r="W68" s="30">
        <f t="shared" si="10"/>
        <v>1.0106484038909742</v>
      </c>
      <c r="X68" s="30"/>
      <c r="Z68" s="30" t="b">
        <f t="shared" si="4"/>
        <v>1</v>
      </c>
    </row>
    <row r="69" spans="1:26">
      <c r="A69" t="str">
        <f>MLIST!A57</f>
        <v>HVAC</v>
      </c>
      <c r="B69" t="str">
        <f>MLIST!D57</f>
        <v>Combo DHP/HPWH units - Retro</v>
      </c>
      <c r="C69" t="s">
        <v>499</v>
      </c>
      <c r="D69" s="30">
        <f t="shared" ref="D69:S84" si="11">IF(ISBLANK($C69),"",VLOOKUP($C69,$C$1:$X$17,D$19-$D$19+2,FALSE))</f>
        <v>4.2999999999999997E-2</v>
      </c>
      <c r="E69" s="30">
        <f t="shared" si="11"/>
        <v>5.279714228027832E-2</v>
      </c>
      <c r="F69" s="30">
        <f t="shared" si="11"/>
        <v>6.4608251467478173E-2</v>
      </c>
      <c r="G69" s="30">
        <f t="shared" si="11"/>
        <v>7.4999999999999997E-2</v>
      </c>
      <c r="H69" s="30">
        <f t="shared" si="11"/>
        <v>8.5546997470333563E-2</v>
      </c>
      <c r="I69" s="30">
        <f t="shared" si="11"/>
        <v>0.10001472303820647</v>
      </c>
      <c r="J69" s="30">
        <f t="shared" si="11"/>
        <v>0.10971770435235073</v>
      </c>
      <c r="K69" s="30">
        <f t="shared" si="11"/>
        <v>0.11208438511970376</v>
      </c>
      <c r="L69" s="30">
        <f t="shared" si="11"/>
        <v>0.10562608162722853</v>
      </c>
      <c r="M69" s="30">
        <f t="shared" si="11"/>
        <v>9.0794563997872335E-2</v>
      </c>
      <c r="N69" s="30">
        <f t="shared" si="11"/>
        <v>7.0260666991849297E-2</v>
      </c>
      <c r="O69" s="30">
        <f t="shared" si="11"/>
        <v>4.8218360404944538E-2</v>
      </c>
      <c r="P69" s="30">
        <f t="shared" si="11"/>
        <v>2.8854234614640095E-2</v>
      </c>
      <c r="Q69" s="30">
        <f t="shared" si="11"/>
        <v>1.4773964924806759E-2</v>
      </c>
      <c r="R69" s="30">
        <f t="shared" si="11"/>
        <v>6.3385343681182649E-3</v>
      </c>
      <c r="S69" s="30">
        <f t="shared" si="11"/>
        <v>2.2268577196306039E-3</v>
      </c>
      <c r="T69" s="30">
        <f t="shared" si="10"/>
        <v>6.2471001963848583E-4</v>
      </c>
      <c r="U69" s="30">
        <f t="shared" si="10"/>
        <v>1.3615841889635938E-4</v>
      </c>
      <c r="V69" s="30">
        <f t="shared" si="10"/>
        <v>2.2380636622298944E-5</v>
      </c>
      <c r="W69" s="30">
        <f t="shared" si="10"/>
        <v>2.68643837586513E-6</v>
      </c>
      <c r="X69" s="30"/>
      <c r="Z69" s="30" t="b">
        <f t="shared" si="4"/>
        <v>1</v>
      </c>
    </row>
    <row r="70" spans="1:26">
      <c r="A70" t="str">
        <f>MLIST!A58</f>
        <v>Water Heating</v>
      </c>
      <c r="B70" t="str">
        <f>MLIST!D58</f>
        <v>Aerator - New</v>
      </c>
      <c r="C70" t="s">
        <v>497</v>
      </c>
      <c r="D70" s="30">
        <f t="shared" si="11"/>
        <v>5.5320496977002724E-3</v>
      </c>
      <c r="E70" s="30">
        <f t="shared" si="11"/>
        <v>1.4227918344261844E-2</v>
      </c>
      <c r="F70" s="30">
        <f t="shared" si="11"/>
        <v>3.1619655637384989E-2</v>
      </c>
      <c r="G70" s="30">
        <f t="shared" si="11"/>
        <v>6.2055195900350503E-2</v>
      </c>
      <c r="H70" s="30">
        <f t="shared" si="11"/>
        <v>0.10939936964274129</v>
      </c>
      <c r="I70" s="30">
        <f t="shared" si="11"/>
        <v>0.17568121288208835</v>
      </c>
      <c r="J70" s="30">
        <f t="shared" si="11"/>
        <v>0.26003992245943919</v>
      </c>
      <c r="K70" s="30">
        <f t="shared" si="11"/>
        <v>0.3584584169663485</v>
      </c>
      <c r="L70" s="30">
        <f t="shared" si="11"/>
        <v>0.46444756489686617</v>
      </c>
      <c r="M70" s="30">
        <f t="shared" si="11"/>
        <v>0.57043671282738384</v>
      </c>
      <c r="N70" s="30">
        <f t="shared" si="11"/>
        <v>0.66935991756253377</v>
      </c>
      <c r="O70" s="30">
        <f t="shared" si="11"/>
        <v>0.75591772170578986</v>
      </c>
      <c r="P70" s="30">
        <f t="shared" si="11"/>
        <v>0.82720061923553012</v>
      </c>
      <c r="Q70" s="30">
        <f t="shared" si="11"/>
        <v>0.88264287286977261</v>
      </c>
      <c r="R70" s="30">
        <f t="shared" si="11"/>
        <v>0.92349505975816193</v>
      </c>
      <c r="S70" s="30">
        <f t="shared" si="11"/>
        <v>0.95209159058003434</v>
      </c>
      <c r="T70" s="30">
        <f t="shared" si="10"/>
        <v>0.97115594446128262</v>
      </c>
      <c r="U70" s="30">
        <f t="shared" si="10"/>
        <v>0.98328780602207699</v>
      </c>
      <c r="V70" s="30">
        <f t="shared" si="10"/>
        <v>0.99067241740690848</v>
      </c>
      <c r="W70" s="30">
        <f t="shared" si="10"/>
        <v>0.99498010738139331</v>
      </c>
      <c r="X70" s="30"/>
      <c r="Z70" s="30" t="b">
        <f t="shared" si="4"/>
        <v>1</v>
      </c>
    </row>
    <row r="71" spans="1:26">
      <c r="A71" t="str">
        <f>MLIST!A59</f>
        <v>Water Heating</v>
      </c>
      <c r="B71" t="str">
        <f>MLIST!D59</f>
        <v>Aerator - Retro</v>
      </c>
      <c r="C71" s="8" t="s">
        <v>498</v>
      </c>
      <c r="D71" s="30">
        <f t="shared" si="11"/>
        <v>5.5320496977002724E-3</v>
      </c>
      <c r="E71" s="30">
        <f t="shared" si="11"/>
        <v>8.6958686465615706E-3</v>
      </c>
      <c r="F71" s="30">
        <f t="shared" si="11"/>
        <v>1.7391737293123145E-2</v>
      </c>
      <c r="G71" s="30">
        <f t="shared" si="11"/>
        <v>3.0435540262965514E-2</v>
      </c>
      <c r="H71" s="30">
        <f t="shared" si="11"/>
        <v>4.7344173742390784E-2</v>
      </c>
      <c r="I71" s="30">
        <f t="shared" si="11"/>
        <v>6.6281843239347063E-2</v>
      </c>
      <c r="J71" s="30">
        <f t="shared" si="11"/>
        <v>8.4358709577350838E-2</v>
      </c>
      <c r="K71" s="30">
        <f t="shared" si="11"/>
        <v>9.8418494506909315E-2</v>
      </c>
      <c r="L71" s="30">
        <f t="shared" si="11"/>
        <v>0.10598914793051767</v>
      </c>
      <c r="M71" s="30">
        <f t="shared" si="11"/>
        <v>0.10598914793051767</v>
      </c>
      <c r="N71" s="30">
        <f t="shared" si="11"/>
        <v>9.8923204735149928E-2</v>
      </c>
      <c r="O71" s="30">
        <f t="shared" si="11"/>
        <v>8.655780414325609E-2</v>
      </c>
      <c r="P71" s="30">
        <f t="shared" si="11"/>
        <v>7.1282897529740263E-2</v>
      </c>
      <c r="Q71" s="30">
        <f t="shared" si="11"/>
        <v>5.5442253634242489E-2</v>
      </c>
      <c r="R71" s="30">
        <f t="shared" si="11"/>
        <v>4.0852186888389319E-2</v>
      </c>
      <c r="S71" s="30">
        <f t="shared" si="11"/>
        <v>2.8596530821872412E-2</v>
      </c>
      <c r="T71" s="30">
        <f t="shared" si="10"/>
        <v>1.9064353881248275E-2</v>
      </c>
      <c r="U71" s="30">
        <f t="shared" si="10"/>
        <v>1.2131861560794377E-2</v>
      </c>
      <c r="V71" s="30">
        <f t="shared" si="10"/>
        <v>7.3846113848314854E-3</v>
      </c>
      <c r="W71" s="30">
        <f t="shared" si="10"/>
        <v>4.3076899744848296E-3</v>
      </c>
      <c r="X71" s="30"/>
      <c r="Z71" s="30" t="b">
        <f t="shared" si="4"/>
        <v>1</v>
      </c>
    </row>
    <row r="72" spans="1:26">
      <c r="A72" t="str">
        <f>MLIST!A60</f>
        <v>Water Heating</v>
      </c>
      <c r="B72" t="str">
        <f>MLIST!D60</f>
        <v>Behavior - Retro</v>
      </c>
      <c r="C72" t="s">
        <v>499</v>
      </c>
      <c r="D72" s="30">
        <f t="shared" si="11"/>
        <v>4.2999999999999997E-2</v>
      </c>
      <c r="E72" s="30">
        <f t="shared" si="11"/>
        <v>5.279714228027832E-2</v>
      </c>
      <c r="F72" s="30">
        <f t="shared" si="11"/>
        <v>6.4608251467478173E-2</v>
      </c>
      <c r="G72" s="30">
        <f t="shared" si="11"/>
        <v>7.4999999999999997E-2</v>
      </c>
      <c r="H72" s="30">
        <f t="shared" si="11"/>
        <v>8.5546997470333563E-2</v>
      </c>
      <c r="I72" s="30">
        <f t="shared" si="11"/>
        <v>0.10001472303820647</v>
      </c>
      <c r="J72" s="30">
        <f t="shared" si="11"/>
        <v>0.10971770435235073</v>
      </c>
      <c r="K72" s="30">
        <f t="shared" si="11"/>
        <v>0.11208438511970376</v>
      </c>
      <c r="L72" s="30">
        <f t="shared" si="11"/>
        <v>0.10562608162722853</v>
      </c>
      <c r="M72" s="30">
        <f t="shared" si="11"/>
        <v>9.0794563997872335E-2</v>
      </c>
      <c r="N72" s="30">
        <f t="shared" si="11"/>
        <v>7.0260666991849297E-2</v>
      </c>
      <c r="O72" s="30">
        <f t="shared" si="11"/>
        <v>4.8218360404944538E-2</v>
      </c>
      <c r="P72" s="30">
        <f t="shared" si="11"/>
        <v>2.8854234614640095E-2</v>
      </c>
      <c r="Q72" s="30">
        <f t="shared" si="11"/>
        <v>1.4773964924806759E-2</v>
      </c>
      <c r="R72" s="30">
        <f t="shared" si="11"/>
        <v>6.3385343681182649E-3</v>
      </c>
      <c r="S72" s="30">
        <f t="shared" si="11"/>
        <v>2.2268577196306039E-3</v>
      </c>
      <c r="T72" s="30">
        <f t="shared" si="10"/>
        <v>6.2471001963848583E-4</v>
      </c>
      <c r="U72" s="30">
        <f t="shared" si="10"/>
        <v>1.3615841889635938E-4</v>
      </c>
      <c r="V72" s="30">
        <f t="shared" si="10"/>
        <v>2.2380636622298944E-5</v>
      </c>
      <c r="W72" s="30">
        <f t="shared" si="10"/>
        <v>2.68643837586513E-6</v>
      </c>
      <c r="X72" s="30"/>
      <c r="Z72" s="30" t="b">
        <f t="shared" si="4"/>
        <v>1</v>
      </c>
    </row>
    <row r="73" spans="1:26">
      <c r="A73" t="str">
        <f>MLIST!A61</f>
        <v>Water Heating</v>
      </c>
      <c r="B73" t="str">
        <f>MLIST!D61</f>
        <v>Behavior - New</v>
      </c>
      <c r="C73" t="s">
        <v>500</v>
      </c>
      <c r="D73" s="30">
        <f t="shared" si="11"/>
        <v>4.2999999999999997E-2</v>
      </c>
      <c r="E73" s="30">
        <f t="shared" si="11"/>
        <v>9.5797142280278316E-2</v>
      </c>
      <c r="F73" s="30">
        <f t="shared" si="11"/>
        <v>0.16040539374775648</v>
      </c>
      <c r="G73" s="30">
        <f t="shared" si="11"/>
        <v>0.23540539374775649</v>
      </c>
      <c r="H73" s="30">
        <f t="shared" si="11"/>
        <v>0.32095239121809005</v>
      </c>
      <c r="I73" s="30">
        <f t="shared" si="11"/>
        <v>0.42096711425629652</v>
      </c>
      <c r="J73" s="30">
        <f t="shared" si="11"/>
        <v>0.53068481860864725</v>
      </c>
      <c r="K73" s="30">
        <f t="shared" si="11"/>
        <v>0.642769203728351</v>
      </c>
      <c r="L73" s="30">
        <f t="shared" si="11"/>
        <v>0.74839528535557953</v>
      </c>
      <c r="M73" s="30">
        <f t="shared" si="11"/>
        <v>0.83918984935345187</v>
      </c>
      <c r="N73" s="30">
        <f t="shared" si="11"/>
        <v>0.90945051634530116</v>
      </c>
      <c r="O73" s="30">
        <f t="shared" si="11"/>
        <v>0.9576688767502457</v>
      </c>
      <c r="P73" s="30">
        <f t="shared" si="11"/>
        <v>0.9865231113648858</v>
      </c>
      <c r="Q73" s="30">
        <f t="shared" si="11"/>
        <v>1.0012970762896924</v>
      </c>
      <c r="R73" s="30">
        <f t="shared" si="11"/>
        <v>1.0076356106578106</v>
      </c>
      <c r="S73" s="30">
        <f t="shared" si="11"/>
        <v>1.0098624683774413</v>
      </c>
      <c r="T73" s="30">
        <f t="shared" si="10"/>
        <v>1.0104871783970797</v>
      </c>
      <c r="U73" s="30">
        <f t="shared" si="10"/>
        <v>1.010623336815976</v>
      </c>
      <c r="V73" s="30">
        <f t="shared" si="10"/>
        <v>1.0106457174525985</v>
      </c>
      <c r="W73" s="30">
        <f t="shared" si="10"/>
        <v>1.0106484038909742</v>
      </c>
      <c r="X73" s="30"/>
      <c r="Z73" s="30" t="b">
        <f t="shared" si="4"/>
        <v>1</v>
      </c>
    </row>
    <row r="74" spans="1:26">
      <c r="A74">
        <f>MLIST!A62</f>
        <v>0</v>
      </c>
      <c r="B74">
        <f>MLIST!D62</f>
        <v>0</v>
      </c>
      <c r="C74" t="s">
        <v>502</v>
      </c>
      <c r="D74" s="30">
        <f t="shared" si="11"/>
        <v>2.5643970768378654E-3</v>
      </c>
      <c r="E74" s="30">
        <f t="shared" si="11"/>
        <v>5.1260615529385989E-3</v>
      </c>
      <c r="F74" s="30">
        <f t="shared" si="11"/>
        <v>9.1015544176433795E-3</v>
      </c>
      <c r="G74" s="30">
        <f t="shared" si="11"/>
        <v>1.4804925730045659E-2</v>
      </c>
      <c r="H74" s="30">
        <f t="shared" si="11"/>
        <v>2.2471809420486211E-2</v>
      </c>
      <c r="I74" s="30">
        <f t="shared" si="11"/>
        <v>3.2184432813882391E-2</v>
      </c>
      <c r="J74" s="30">
        <f t="shared" si="11"/>
        <v>4.3779667172004086E-2</v>
      </c>
      <c r="K74" s="30">
        <f t="shared" si="11"/>
        <v>5.675426075474499E-2</v>
      </c>
      <c r="L74" s="30">
        <f t="shared" si="11"/>
        <v>7.0195239068707532E-2</v>
      </c>
      <c r="M74" s="30">
        <f t="shared" si="11"/>
        <v>8.2776861842756788E-2</v>
      </c>
      <c r="N74" s="30">
        <f t="shared" si="11"/>
        <v>9.2870259507494834E-2</v>
      </c>
      <c r="O74" s="30">
        <f t="shared" si="11"/>
        <v>9.8796470678915727E-2</v>
      </c>
      <c r="P74" s="30">
        <f t="shared" si="11"/>
        <v>9.9208932889988999E-2</v>
      </c>
      <c r="Q74" s="30">
        <f t="shared" si="11"/>
        <v>9.3521150494244254E-2</v>
      </c>
      <c r="R74" s="30">
        <f t="shared" si="11"/>
        <v>8.2226007896862296E-2</v>
      </c>
      <c r="S74" s="30">
        <f t="shared" si="11"/>
        <v>6.6933566027365665E-2</v>
      </c>
      <c r="T74" s="30">
        <f t="shared" si="10"/>
        <v>5.0029565143448806E-2</v>
      </c>
      <c r="U74" s="30">
        <f t="shared" si="10"/>
        <v>3.402486521893211E-2</v>
      </c>
      <c r="V74" s="30">
        <f t="shared" si="10"/>
        <v>2.0846059340774659E-2</v>
      </c>
      <c r="W74" s="30">
        <f t="shared" si="10"/>
        <v>0.01</v>
      </c>
      <c r="X74" s="30"/>
      <c r="Z74" s="30" t="b">
        <f t="shared" si="4"/>
        <v>1</v>
      </c>
    </row>
    <row r="75" spans="1:26">
      <c r="A75" t="str">
        <f>MLIST!A63</f>
        <v>HVAC</v>
      </c>
      <c r="B75" t="str">
        <f>MLIST!D63</f>
        <v>Heat Recovery Ventilation - New</v>
      </c>
      <c r="C75" t="s">
        <v>501</v>
      </c>
      <c r="D75" s="30">
        <f t="shared" si="11"/>
        <v>2.5643970768378654E-3</v>
      </c>
      <c r="E75" s="30">
        <f t="shared" si="11"/>
        <v>7.6904586297764643E-3</v>
      </c>
      <c r="F75" s="30">
        <f t="shared" si="11"/>
        <v>1.6792013047419844E-2</v>
      </c>
      <c r="G75" s="30">
        <f t="shared" si="11"/>
        <v>3.15969387774655E-2</v>
      </c>
      <c r="H75" s="30">
        <f t="shared" si="11"/>
        <v>5.406874819795171E-2</v>
      </c>
      <c r="I75" s="30">
        <f t="shared" si="11"/>
        <v>8.6253181011834101E-2</v>
      </c>
      <c r="J75" s="30">
        <f t="shared" si="11"/>
        <v>0.1300328481838382</v>
      </c>
      <c r="K75" s="30">
        <f t="shared" si="11"/>
        <v>0.18678710893858319</v>
      </c>
      <c r="L75" s="30">
        <f t="shared" si="11"/>
        <v>0.2569823480072907</v>
      </c>
      <c r="M75" s="30">
        <f t="shared" si="11"/>
        <v>0.33975920985004748</v>
      </c>
      <c r="N75" s="30">
        <f t="shared" si="11"/>
        <v>0.43262946935754232</v>
      </c>
      <c r="O75" s="30">
        <f t="shared" si="11"/>
        <v>0.53142594003645804</v>
      </c>
      <c r="P75" s="30">
        <f t="shared" si="11"/>
        <v>0.63063487292644704</v>
      </c>
      <c r="Q75" s="30">
        <f t="shared" si="11"/>
        <v>0.7241560234206913</v>
      </c>
      <c r="R75" s="30">
        <f t="shared" si="11"/>
        <v>0.80638203131755359</v>
      </c>
      <c r="S75" s="30">
        <f t="shared" si="11"/>
        <v>0.87331559734491926</v>
      </c>
      <c r="T75" s="30">
        <f t="shared" si="10"/>
        <v>0.92334516248836807</v>
      </c>
      <c r="U75" s="30">
        <f t="shared" si="10"/>
        <v>0.95737002770730018</v>
      </c>
      <c r="V75" s="30">
        <f t="shared" si="10"/>
        <v>0.97821608704807483</v>
      </c>
      <c r="W75" s="30">
        <f t="shared" si="10"/>
        <v>0.98821608704807484</v>
      </c>
      <c r="X75" s="30"/>
      <c r="Z75" s="30" t="b">
        <f t="shared" si="4"/>
        <v>1</v>
      </c>
    </row>
    <row r="76" spans="1:26">
      <c r="A76" t="str">
        <f>MLIST!A64</f>
        <v>HVAC</v>
      </c>
      <c r="B76" t="str">
        <f>MLIST!D64</f>
        <v>GSHP - New</v>
      </c>
      <c r="C76" t="s">
        <v>501</v>
      </c>
      <c r="D76" s="30">
        <f t="shared" si="11"/>
        <v>2.5643970768378654E-3</v>
      </c>
      <c r="E76" s="30">
        <f t="shared" si="11"/>
        <v>7.6904586297764643E-3</v>
      </c>
      <c r="F76" s="30">
        <f t="shared" si="11"/>
        <v>1.6792013047419844E-2</v>
      </c>
      <c r="G76" s="30">
        <f t="shared" si="11"/>
        <v>3.15969387774655E-2</v>
      </c>
      <c r="H76" s="30">
        <f t="shared" si="11"/>
        <v>5.406874819795171E-2</v>
      </c>
      <c r="I76" s="30">
        <f t="shared" si="11"/>
        <v>8.6253181011834101E-2</v>
      </c>
      <c r="J76" s="30">
        <f t="shared" si="11"/>
        <v>0.1300328481838382</v>
      </c>
      <c r="K76" s="30">
        <f t="shared" si="11"/>
        <v>0.18678710893858319</v>
      </c>
      <c r="L76" s="30">
        <f t="shared" si="11"/>
        <v>0.2569823480072907</v>
      </c>
      <c r="M76" s="30">
        <f t="shared" si="11"/>
        <v>0.33975920985004748</v>
      </c>
      <c r="N76" s="30">
        <f t="shared" si="11"/>
        <v>0.43262946935754232</v>
      </c>
      <c r="O76" s="30">
        <f t="shared" si="11"/>
        <v>0.53142594003645804</v>
      </c>
      <c r="P76" s="30">
        <f t="shared" si="11"/>
        <v>0.63063487292644704</v>
      </c>
      <c r="Q76" s="30">
        <f t="shared" si="11"/>
        <v>0.7241560234206913</v>
      </c>
      <c r="R76" s="30">
        <f t="shared" si="11"/>
        <v>0.80638203131755359</v>
      </c>
      <c r="S76" s="30">
        <f t="shared" si="11"/>
        <v>0.87331559734491926</v>
      </c>
      <c r="T76" s="30">
        <f t="shared" si="10"/>
        <v>0.92334516248836807</v>
      </c>
      <c r="U76" s="30">
        <f t="shared" si="10"/>
        <v>0.95737002770730018</v>
      </c>
      <c r="V76" s="30">
        <f t="shared" si="10"/>
        <v>0.97821608704807483</v>
      </c>
      <c r="W76" s="30">
        <f t="shared" si="10"/>
        <v>0.98821608704807484</v>
      </c>
      <c r="X76" s="30"/>
      <c r="Z76" s="30" t="b">
        <f t="shared" si="4"/>
        <v>1</v>
      </c>
    </row>
    <row r="77" spans="1:26">
      <c r="A77" t="str">
        <f>MLIST!A65</f>
        <v>HVAC</v>
      </c>
      <c r="B77" t="str">
        <f>MLIST!D65</f>
        <v>GSHP - NR</v>
      </c>
      <c r="C77" t="s">
        <v>501</v>
      </c>
      <c r="D77" s="30">
        <f t="shared" si="11"/>
        <v>2.5643970768378654E-3</v>
      </c>
      <c r="E77" s="30">
        <f t="shared" si="11"/>
        <v>7.6904586297764643E-3</v>
      </c>
      <c r="F77" s="30">
        <f t="shared" si="11"/>
        <v>1.6792013047419844E-2</v>
      </c>
      <c r="G77" s="30">
        <f t="shared" si="11"/>
        <v>3.15969387774655E-2</v>
      </c>
      <c r="H77" s="30">
        <f t="shared" si="11"/>
        <v>5.406874819795171E-2</v>
      </c>
      <c r="I77" s="30">
        <f t="shared" si="11"/>
        <v>8.6253181011834101E-2</v>
      </c>
      <c r="J77" s="30">
        <f t="shared" si="11"/>
        <v>0.1300328481838382</v>
      </c>
      <c r="K77" s="30">
        <f t="shared" si="11"/>
        <v>0.18678710893858319</v>
      </c>
      <c r="L77" s="30">
        <f t="shared" si="11"/>
        <v>0.2569823480072907</v>
      </c>
      <c r="M77" s="30">
        <f t="shared" si="11"/>
        <v>0.33975920985004748</v>
      </c>
      <c r="N77" s="30">
        <f t="shared" si="11"/>
        <v>0.43262946935754232</v>
      </c>
      <c r="O77" s="30">
        <f t="shared" si="11"/>
        <v>0.53142594003645804</v>
      </c>
      <c r="P77" s="30">
        <f t="shared" si="11"/>
        <v>0.63063487292644704</v>
      </c>
      <c r="Q77" s="30">
        <f t="shared" si="11"/>
        <v>0.7241560234206913</v>
      </c>
      <c r="R77" s="30">
        <f t="shared" si="11"/>
        <v>0.80638203131755359</v>
      </c>
      <c r="S77" s="30">
        <f t="shared" si="11"/>
        <v>0.87331559734491926</v>
      </c>
      <c r="T77" s="30">
        <f t="shared" si="10"/>
        <v>0.92334516248836807</v>
      </c>
      <c r="U77" s="30">
        <f t="shared" si="10"/>
        <v>0.95737002770730018</v>
      </c>
      <c r="V77" s="30">
        <f t="shared" si="10"/>
        <v>0.97821608704807483</v>
      </c>
      <c r="W77" s="30">
        <f t="shared" si="10"/>
        <v>0.98821608704807484</v>
      </c>
      <c r="X77" s="30"/>
      <c r="Z77" s="30" t="b">
        <f t="shared" si="4"/>
        <v>1</v>
      </c>
    </row>
    <row r="78" spans="1:26">
      <c r="A78">
        <f>MLIST!A66</f>
        <v>0</v>
      </c>
      <c r="B78">
        <f>MLIST!D66</f>
        <v>0</v>
      </c>
      <c r="C78" t="s">
        <v>499</v>
      </c>
      <c r="D78" s="30">
        <f t="shared" si="11"/>
        <v>4.2999999999999997E-2</v>
      </c>
      <c r="E78" s="30">
        <f t="shared" si="11"/>
        <v>5.279714228027832E-2</v>
      </c>
      <c r="F78" s="30">
        <f t="shared" si="11"/>
        <v>6.4608251467478173E-2</v>
      </c>
      <c r="G78" s="30">
        <f t="shared" si="11"/>
        <v>7.4999999999999997E-2</v>
      </c>
      <c r="H78" s="30">
        <f t="shared" si="11"/>
        <v>8.5546997470333563E-2</v>
      </c>
      <c r="I78" s="30">
        <f t="shared" si="11"/>
        <v>0.10001472303820647</v>
      </c>
      <c r="J78" s="30">
        <f t="shared" si="11"/>
        <v>0.10971770435235073</v>
      </c>
      <c r="K78" s="30">
        <f t="shared" si="11"/>
        <v>0.11208438511970376</v>
      </c>
      <c r="L78" s="30">
        <f t="shared" si="11"/>
        <v>0.10562608162722853</v>
      </c>
      <c r="M78" s="30">
        <f t="shared" si="11"/>
        <v>9.0794563997872335E-2</v>
      </c>
      <c r="N78" s="30">
        <f t="shared" si="11"/>
        <v>7.0260666991849297E-2</v>
      </c>
      <c r="O78" s="30">
        <f t="shared" si="11"/>
        <v>4.8218360404944538E-2</v>
      </c>
      <c r="P78" s="30">
        <f t="shared" si="11"/>
        <v>2.8854234614640095E-2</v>
      </c>
      <c r="Q78" s="30">
        <f t="shared" si="11"/>
        <v>1.4773964924806759E-2</v>
      </c>
      <c r="R78" s="30">
        <f t="shared" si="11"/>
        <v>6.3385343681182649E-3</v>
      </c>
      <c r="S78" s="30">
        <f t="shared" si="11"/>
        <v>2.2268577196306039E-3</v>
      </c>
      <c r="T78" s="30">
        <f t="shared" si="10"/>
        <v>6.2471001963848583E-4</v>
      </c>
      <c r="U78" s="30">
        <f t="shared" si="10"/>
        <v>1.3615841889635938E-4</v>
      </c>
      <c r="V78" s="30">
        <f t="shared" si="10"/>
        <v>2.2380636622298944E-5</v>
      </c>
      <c r="W78" s="30">
        <f t="shared" si="10"/>
        <v>2.68643837586513E-6</v>
      </c>
      <c r="X78" s="30"/>
      <c r="Z78" s="30" t="b">
        <f t="shared" si="4"/>
        <v>1</v>
      </c>
    </row>
    <row r="79" spans="1:26">
      <c r="A79" t="str">
        <f>MLIST!A67</f>
        <v>HVAC</v>
      </c>
      <c r="B79" t="str">
        <f>MLIST!D67</f>
        <v>ECM for HVAC ventilation - New</v>
      </c>
      <c r="C79" t="s">
        <v>487</v>
      </c>
      <c r="D79" s="30">
        <f t="shared" si="11"/>
        <v>0.10937459468255628</v>
      </c>
      <c r="E79" s="30">
        <f t="shared" si="11"/>
        <v>0.21874918936511256</v>
      </c>
      <c r="F79" s="30">
        <f t="shared" si="11"/>
        <v>0.32812378404766884</v>
      </c>
      <c r="G79" s="30">
        <f t="shared" si="11"/>
        <v>0.43749837873022512</v>
      </c>
      <c r="H79" s="30">
        <f t="shared" si="11"/>
        <v>0.5468729734127814</v>
      </c>
      <c r="I79" s="30">
        <f t="shared" si="11"/>
        <v>0.64531010862708205</v>
      </c>
      <c r="J79" s="30">
        <f t="shared" si="11"/>
        <v>0.7240598167985226</v>
      </c>
      <c r="K79" s="30">
        <f t="shared" si="11"/>
        <v>0.78705958333567505</v>
      </c>
      <c r="L79" s="30">
        <f t="shared" si="11"/>
        <v>0.83745939656539703</v>
      </c>
      <c r="M79" s="30">
        <f t="shared" si="11"/>
        <v>0.87777924714917455</v>
      </c>
      <c r="N79" s="30">
        <f t="shared" si="11"/>
        <v>0.91003512761619654</v>
      </c>
      <c r="O79" s="30">
        <f t="shared" si="11"/>
        <v>0.93583983198981413</v>
      </c>
      <c r="P79" s="30">
        <f t="shared" si="11"/>
        <v>0.9564835954887082</v>
      </c>
      <c r="Q79" s="30">
        <f t="shared" si="11"/>
        <v>0.97299860628782353</v>
      </c>
      <c r="R79" s="30">
        <f t="shared" si="11"/>
        <v>0.9862106149271157</v>
      </c>
      <c r="S79" s="30">
        <f t="shared" si="11"/>
        <v>0.99678022183854953</v>
      </c>
      <c r="T79" s="30">
        <f t="shared" si="10"/>
        <v>0.99685231466234414</v>
      </c>
      <c r="U79" s="30">
        <f t="shared" si="10"/>
        <v>0.99687806209941365</v>
      </c>
      <c r="V79" s="30">
        <f t="shared" si="10"/>
        <v>0.99688683963477831</v>
      </c>
      <c r="W79" s="30">
        <f t="shared" si="10"/>
        <v>0.99688970187457115</v>
      </c>
      <c r="X79" s="30"/>
      <c r="Z79" s="30" t="b">
        <f t="shared" si="4"/>
        <v>1</v>
      </c>
    </row>
    <row r="80" spans="1:26">
      <c r="A80" t="str">
        <f>MLIST!A68</f>
        <v>HVAC</v>
      </c>
      <c r="B80" t="str">
        <f>MLIST!D68</f>
        <v>ECM for HVAC ventilation - NR</v>
      </c>
      <c r="C80" t="s">
        <v>487</v>
      </c>
      <c r="D80" s="30">
        <f t="shared" si="11"/>
        <v>0.10937459468255628</v>
      </c>
      <c r="E80" s="30">
        <f t="shared" si="11"/>
        <v>0.21874918936511256</v>
      </c>
      <c r="F80" s="30">
        <f t="shared" si="11"/>
        <v>0.32812378404766884</v>
      </c>
      <c r="G80" s="30">
        <f t="shared" si="11"/>
        <v>0.43749837873022512</v>
      </c>
      <c r="H80" s="30">
        <f t="shared" si="11"/>
        <v>0.5468729734127814</v>
      </c>
      <c r="I80" s="30">
        <f t="shared" si="11"/>
        <v>0.64531010862708205</v>
      </c>
      <c r="J80" s="30">
        <f t="shared" si="11"/>
        <v>0.7240598167985226</v>
      </c>
      <c r="K80" s="30">
        <f t="shared" si="11"/>
        <v>0.78705958333567505</v>
      </c>
      <c r="L80" s="30">
        <f t="shared" si="11"/>
        <v>0.83745939656539703</v>
      </c>
      <c r="M80" s="30">
        <f t="shared" si="11"/>
        <v>0.87777924714917455</v>
      </c>
      <c r="N80" s="30">
        <f t="shared" si="11"/>
        <v>0.91003512761619654</v>
      </c>
      <c r="O80" s="30">
        <f t="shared" si="11"/>
        <v>0.93583983198981413</v>
      </c>
      <c r="P80" s="30">
        <f t="shared" si="11"/>
        <v>0.9564835954887082</v>
      </c>
      <c r="Q80" s="30">
        <f t="shared" si="11"/>
        <v>0.97299860628782353</v>
      </c>
      <c r="R80" s="30">
        <f t="shared" si="11"/>
        <v>0.9862106149271157</v>
      </c>
      <c r="S80" s="30">
        <f t="shared" si="11"/>
        <v>0.99678022183854953</v>
      </c>
      <c r="T80" s="30">
        <f t="shared" si="10"/>
        <v>0.99685231466234414</v>
      </c>
      <c r="U80" s="30">
        <f t="shared" si="10"/>
        <v>0.99687806209941365</v>
      </c>
      <c r="V80" s="30">
        <f t="shared" si="10"/>
        <v>0.99688683963477831</v>
      </c>
      <c r="W80" s="30">
        <f t="shared" si="10"/>
        <v>0.99688970187457115</v>
      </c>
      <c r="X80" s="30"/>
      <c r="Z80" s="30" t="b">
        <f t="shared" si="4"/>
        <v>1</v>
      </c>
    </row>
    <row r="81" spans="1:26">
      <c r="A81" t="str">
        <f>MLIST!A69</f>
        <v>HVAC</v>
      </c>
      <c r="B81" t="str">
        <f>MLIST!D69</f>
        <v>Whole house/attic fan - New</v>
      </c>
      <c r="C81" t="s">
        <v>487</v>
      </c>
      <c r="D81" s="30">
        <f t="shared" si="11"/>
        <v>0.10937459468255628</v>
      </c>
      <c r="E81" s="30">
        <f t="shared" si="11"/>
        <v>0.21874918936511256</v>
      </c>
      <c r="F81" s="30">
        <f t="shared" si="11"/>
        <v>0.32812378404766884</v>
      </c>
      <c r="G81" s="30">
        <f t="shared" si="11"/>
        <v>0.43749837873022512</v>
      </c>
      <c r="H81" s="30">
        <f t="shared" si="11"/>
        <v>0.5468729734127814</v>
      </c>
      <c r="I81" s="30">
        <f t="shared" si="11"/>
        <v>0.64531010862708205</v>
      </c>
      <c r="J81" s="30">
        <f t="shared" si="11"/>
        <v>0.7240598167985226</v>
      </c>
      <c r="K81" s="30">
        <f t="shared" si="11"/>
        <v>0.78705958333567505</v>
      </c>
      <c r="L81" s="30">
        <f t="shared" si="11"/>
        <v>0.83745939656539703</v>
      </c>
      <c r="M81" s="30">
        <f t="shared" si="11"/>
        <v>0.87777924714917455</v>
      </c>
      <c r="N81" s="30">
        <f t="shared" si="11"/>
        <v>0.91003512761619654</v>
      </c>
      <c r="O81" s="30">
        <f t="shared" si="11"/>
        <v>0.93583983198981413</v>
      </c>
      <c r="P81" s="30">
        <f t="shared" si="11"/>
        <v>0.9564835954887082</v>
      </c>
      <c r="Q81" s="30">
        <f t="shared" si="11"/>
        <v>0.97299860628782353</v>
      </c>
      <c r="R81" s="30">
        <f t="shared" si="11"/>
        <v>0.9862106149271157</v>
      </c>
      <c r="S81" s="30">
        <f t="shared" si="11"/>
        <v>0.99678022183854953</v>
      </c>
      <c r="T81" s="30">
        <f t="shared" si="10"/>
        <v>0.99685231466234414</v>
      </c>
      <c r="U81" s="30">
        <f t="shared" si="10"/>
        <v>0.99687806209941365</v>
      </c>
      <c r="V81" s="30">
        <f t="shared" si="10"/>
        <v>0.99688683963477831</v>
      </c>
      <c r="W81" s="30">
        <f t="shared" si="10"/>
        <v>0.99688970187457115</v>
      </c>
      <c r="X81" s="30"/>
      <c r="Z81" s="30" t="b">
        <f t="shared" si="4"/>
        <v>1</v>
      </c>
    </row>
    <row r="82" spans="1:26">
      <c r="A82" t="str">
        <f>MLIST!A70</f>
        <v>HVAC</v>
      </c>
      <c r="B82" t="str">
        <f>MLIST!D70</f>
        <v>Whole house/attic fan - Retro</v>
      </c>
      <c r="C82" s="8" t="s">
        <v>482</v>
      </c>
      <c r="D82" s="30">
        <f t="shared" si="11"/>
        <v>0.10937459468255628</v>
      </c>
      <c r="E82" s="30">
        <f t="shared" si="11"/>
        <v>0.10937459468255628</v>
      </c>
      <c r="F82" s="30">
        <f t="shared" si="11"/>
        <v>0.10937459468255628</v>
      </c>
      <c r="G82" s="30">
        <f t="shared" si="11"/>
        <v>0.10937459468255628</v>
      </c>
      <c r="H82" s="30">
        <f t="shared" si="11"/>
        <v>0.10937459468255628</v>
      </c>
      <c r="I82" s="30">
        <f t="shared" si="11"/>
        <v>9.8437135214300656E-2</v>
      </c>
      <c r="J82" s="30">
        <f t="shared" si="11"/>
        <v>7.874970817144053E-2</v>
      </c>
      <c r="K82" s="30">
        <f t="shared" si="11"/>
        <v>6.2999766537152418E-2</v>
      </c>
      <c r="L82" s="30">
        <f t="shared" si="11"/>
        <v>5.0399813229721938E-2</v>
      </c>
      <c r="M82" s="30">
        <f t="shared" si="11"/>
        <v>4.0319850583777551E-2</v>
      </c>
      <c r="N82" s="30">
        <f t="shared" si="11"/>
        <v>3.225588046702204E-2</v>
      </c>
      <c r="O82" s="30">
        <f t="shared" si="11"/>
        <v>2.5804704373617631E-2</v>
      </c>
      <c r="P82" s="30">
        <f t="shared" si="11"/>
        <v>2.0643763498894106E-2</v>
      </c>
      <c r="Q82" s="30">
        <f t="shared" si="11"/>
        <v>1.6515010799115284E-2</v>
      </c>
      <c r="R82" s="30">
        <f t="shared" si="11"/>
        <v>1.3212008639292228E-2</v>
      </c>
      <c r="S82" s="30">
        <f t="shared" si="11"/>
        <v>1.0569606911433781E-2</v>
      </c>
      <c r="T82" s="30">
        <f t="shared" si="10"/>
        <v>7.2092823794611682E-5</v>
      </c>
      <c r="U82" s="30">
        <f t="shared" si="10"/>
        <v>2.5747437069512102E-5</v>
      </c>
      <c r="V82" s="30">
        <f t="shared" si="10"/>
        <v>8.7775353646568632E-6</v>
      </c>
      <c r="W82" s="30">
        <f t="shared" si="10"/>
        <v>2.8622397928446119E-6</v>
      </c>
      <c r="X82" s="30"/>
      <c r="Z82" s="30" t="b">
        <f t="shared" si="4"/>
        <v>1</v>
      </c>
    </row>
    <row r="83" spans="1:26">
      <c r="A83" t="str">
        <f>MLIST!A71</f>
        <v>Water heating</v>
      </c>
      <c r="B83" t="str">
        <f>MLIST!D71</f>
        <v>WH Pipe insulation - Retro</v>
      </c>
      <c r="C83" s="8" t="s">
        <v>482</v>
      </c>
      <c r="D83" s="30">
        <f t="shared" si="11"/>
        <v>0.10937459468255628</v>
      </c>
      <c r="E83" s="30">
        <f t="shared" si="11"/>
        <v>0.10937459468255628</v>
      </c>
      <c r="F83" s="30">
        <f t="shared" si="11"/>
        <v>0.10937459468255628</v>
      </c>
      <c r="G83" s="30">
        <f t="shared" si="11"/>
        <v>0.10937459468255628</v>
      </c>
      <c r="H83" s="30">
        <f t="shared" si="11"/>
        <v>0.10937459468255628</v>
      </c>
      <c r="I83" s="30">
        <f t="shared" si="11"/>
        <v>9.8437135214300656E-2</v>
      </c>
      <c r="J83" s="30">
        <f t="shared" si="11"/>
        <v>7.874970817144053E-2</v>
      </c>
      <c r="K83" s="30">
        <f t="shared" si="11"/>
        <v>6.2999766537152418E-2</v>
      </c>
      <c r="L83" s="30">
        <f t="shared" si="11"/>
        <v>5.0399813229721938E-2</v>
      </c>
      <c r="M83" s="30">
        <f t="shared" si="11"/>
        <v>4.0319850583777551E-2</v>
      </c>
      <c r="N83" s="30">
        <f t="shared" si="11"/>
        <v>3.225588046702204E-2</v>
      </c>
      <c r="O83" s="30">
        <f t="shared" si="11"/>
        <v>2.5804704373617631E-2</v>
      </c>
      <c r="P83" s="30">
        <f t="shared" si="11"/>
        <v>2.0643763498894106E-2</v>
      </c>
      <c r="Q83" s="30">
        <f t="shared" si="11"/>
        <v>1.6515010799115284E-2</v>
      </c>
      <c r="R83" s="30">
        <f t="shared" si="11"/>
        <v>1.3212008639292228E-2</v>
      </c>
      <c r="S83" s="30">
        <f t="shared" si="11"/>
        <v>1.0569606911433781E-2</v>
      </c>
      <c r="T83" s="30">
        <f t="shared" si="10"/>
        <v>7.2092823794611682E-5</v>
      </c>
      <c r="U83" s="30">
        <f t="shared" si="10"/>
        <v>2.5747437069512102E-5</v>
      </c>
      <c r="V83" s="30">
        <f t="shared" si="10"/>
        <v>8.7775353646568632E-6</v>
      </c>
      <c r="W83" s="30">
        <f t="shared" si="10"/>
        <v>2.8622397928446119E-6</v>
      </c>
      <c r="X83" s="30"/>
      <c r="Z83" s="30" t="b">
        <f t="shared" si="4"/>
        <v>1</v>
      </c>
    </row>
    <row r="84" spans="1:26">
      <c r="A84" t="str">
        <f>MLIST!A72</f>
        <v>HVAC</v>
      </c>
      <c r="B84" t="str">
        <f>MLIST!D72</f>
        <v>DHP Ducted - NR</v>
      </c>
      <c r="C84" t="s">
        <v>487</v>
      </c>
      <c r="D84" s="30">
        <f t="shared" si="11"/>
        <v>0.10937459468255628</v>
      </c>
      <c r="E84" s="30">
        <f t="shared" si="11"/>
        <v>0.21874918936511256</v>
      </c>
      <c r="F84" s="30">
        <f t="shared" si="11"/>
        <v>0.32812378404766884</v>
      </c>
      <c r="G84" s="30">
        <f t="shared" si="11"/>
        <v>0.43749837873022512</v>
      </c>
      <c r="H84" s="30">
        <f t="shared" si="11"/>
        <v>0.5468729734127814</v>
      </c>
      <c r="I84" s="30">
        <f t="shared" si="11"/>
        <v>0.64531010862708205</v>
      </c>
      <c r="J84" s="30">
        <f t="shared" si="11"/>
        <v>0.7240598167985226</v>
      </c>
      <c r="K84" s="30">
        <f t="shared" si="11"/>
        <v>0.78705958333567505</v>
      </c>
      <c r="L84" s="30">
        <f t="shared" si="11"/>
        <v>0.83745939656539703</v>
      </c>
      <c r="M84" s="30">
        <f t="shared" si="11"/>
        <v>0.87777924714917455</v>
      </c>
      <c r="N84" s="30">
        <f t="shared" si="11"/>
        <v>0.91003512761619654</v>
      </c>
      <c r="O84" s="30">
        <f t="shared" si="11"/>
        <v>0.93583983198981413</v>
      </c>
      <c r="P84" s="30">
        <f t="shared" si="11"/>
        <v>0.9564835954887082</v>
      </c>
      <c r="Q84" s="30">
        <f t="shared" si="11"/>
        <v>0.97299860628782353</v>
      </c>
      <c r="R84" s="30">
        <f t="shared" si="11"/>
        <v>0.9862106149271157</v>
      </c>
      <c r="S84" s="30">
        <f t="shared" ref="S84:S89" si="12">IF(ISBLANK($C84),"",VLOOKUP($C84,$C$1:$X$17,S$19-$D$19+2,FALSE))</f>
        <v>0.99678022183854953</v>
      </c>
      <c r="T84" s="30">
        <f t="shared" si="10"/>
        <v>0.99685231466234414</v>
      </c>
      <c r="U84" s="30">
        <f t="shared" si="10"/>
        <v>0.99687806209941365</v>
      </c>
      <c r="V84" s="30">
        <f t="shared" si="10"/>
        <v>0.99688683963477831</v>
      </c>
      <c r="W84" s="30">
        <f t="shared" si="10"/>
        <v>0.99688970187457115</v>
      </c>
      <c r="X84" s="30"/>
      <c r="Z84" s="30" t="b">
        <f t="shared" si="4"/>
        <v>1</v>
      </c>
    </row>
    <row r="85" spans="1:26">
      <c r="A85" t="str">
        <f>MLIST!A73</f>
        <v>Electronics</v>
      </c>
      <c r="B85" t="str">
        <f>MLIST!D73</f>
        <v>Advanced Power Strips - New</v>
      </c>
      <c r="C85" t="s">
        <v>497</v>
      </c>
      <c r="D85" s="30">
        <f t="shared" ref="D85:R89" si="13">IF(ISBLANK($C85),"",VLOOKUP($C85,$C$1:$X$17,D$19-$D$19+2,FALSE))</f>
        <v>5.5320496977002724E-3</v>
      </c>
      <c r="E85" s="30">
        <f t="shared" si="13"/>
        <v>1.4227918344261844E-2</v>
      </c>
      <c r="F85" s="30">
        <f t="shared" si="13"/>
        <v>3.1619655637384989E-2</v>
      </c>
      <c r="G85" s="30">
        <f t="shared" si="13"/>
        <v>6.2055195900350503E-2</v>
      </c>
      <c r="H85" s="30">
        <f t="shared" si="13"/>
        <v>0.10939936964274129</v>
      </c>
      <c r="I85" s="30">
        <f t="shared" si="13"/>
        <v>0.17568121288208835</v>
      </c>
      <c r="J85" s="30">
        <f t="shared" si="13"/>
        <v>0.26003992245943919</v>
      </c>
      <c r="K85" s="30">
        <f t="shared" si="13"/>
        <v>0.3584584169663485</v>
      </c>
      <c r="L85" s="30">
        <f t="shared" si="13"/>
        <v>0.46444756489686617</v>
      </c>
      <c r="M85" s="30">
        <f t="shared" si="13"/>
        <v>0.57043671282738384</v>
      </c>
      <c r="N85" s="30">
        <f t="shared" si="13"/>
        <v>0.66935991756253377</v>
      </c>
      <c r="O85" s="30">
        <f t="shared" si="13"/>
        <v>0.75591772170578986</v>
      </c>
      <c r="P85" s="30">
        <f t="shared" si="13"/>
        <v>0.82720061923553012</v>
      </c>
      <c r="Q85" s="30">
        <f t="shared" si="13"/>
        <v>0.88264287286977261</v>
      </c>
      <c r="R85" s="30">
        <f t="shared" si="13"/>
        <v>0.92349505975816193</v>
      </c>
      <c r="S85" s="30">
        <f t="shared" si="12"/>
        <v>0.95209159058003434</v>
      </c>
      <c r="T85" s="30">
        <f t="shared" si="10"/>
        <v>0.97115594446128262</v>
      </c>
      <c r="U85" s="30">
        <f t="shared" si="10"/>
        <v>0.98328780602207699</v>
      </c>
      <c r="V85" s="30">
        <f t="shared" si="10"/>
        <v>0.99067241740690848</v>
      </c>
      <c r="W85" s="30">
        <f t="shared" si="10"/>
        <v>0.99498010738139331</v>
      </c>
      <c r="X85" s="30"/>
      <c r="Z85" s="30" t="b">
        <f t="shared" si="4"/>
        <v>1</v>
      </c>
    </row>
    <row r="86" spans="1:26">
      <c r="A86" t="str">
        <f>MLIST!A74</f>
        <v>Electronics</v>
      </c>
      <c r="B86" t="str">
        <f>MLIST!D74</f>
        <v>Advanced Power Strips - Retro</v>
      </c>
      <c r="C86" s="8" t="s">
        <v>498</v>
      </c>
      <c r="D86" s="30">
        <f t="shared" si="13"/>
        <v>5.5320496977002724E-3</v>
      </c>
      <c r="E86" s="30">
        <f t="shared" si="13"/>
        <v>8.6958686465615706E-3</v>
      </c>
      <c r="F86" s="30">
        <f t="shared" si="13"/>
        <v>1.7391737293123145E-2</v>
      </c>
      <c r="G86" s="30">
        <f t="shared" si="13"/>
        <v>3.0435540262965514E-2</v>
      </c>
      <c r="H86" s="30">
        <f t="shared" si="13"/>
        <v>4.7344173742390784E-2</v>
      </c>
      <c r="I86" s="30">
        <f t="shared" si="13"/>
        <v>6.6281843239347063E-2</v>
      </c>
      <c r="J86" s="30">
        <f t="shared" si="13"/>
        <v>8.4358709577350838E-2</v>
      </c>
      <c r="K86" s="30">
        <f t="shared" si="13"/>
        <v>9.8418494506909315E-2</v>
      </c>
      <c r="L86" s="30">
        <f t="shared" si="13"/>
        <v>0.10598914793051767</v>
      </c>
      <c r="M86" s="30">
        <f t="shared" si="13"/>
        <v>0.10598914793051767</v>
      </c>
      <c r="N86" s="30">
        <f t="shared" si="13"/>
        <v>9.8923204735149928E-2</v>
      </c>
      <c r="O86" s="30">
        <f t="shared" si="13"/>
        <v>8.655780414325609E-2</v>
      </c>
      <c r="P86" s="30">
        <f t="shared" si="13"/>
        <v>7.1282897529740263E-2</v>
      </c>
      <c r="Q86" s="30">
        <f t="shared" si="13"/>
        <v>5.5442253634242489E-2</v>
      </c>
      <c r="R86" s="30">
        <f t="shared" si="13"/>
        <v>4.0852186888389319E-2</v>
      </c>
      <c r="S86" s="30">
        <f t="shared" si="12"/>
        <v>2.8596530821872412E-2</v>
      </c>
      <c r="T86" s="30">
        <f t="shared" si="10"/>
        <v>1.9064353881248275E-2</v>
      </c>
      <c r="U86" s="30">
        <f t="shared" si="10"/>
        <v>1.2131861560794377E-2</v>
      </c>
      <c r="V86" s="30">
        <f t="shared" si="10"/>
        <v>7.3846113848314854E-3</v>
      </c>
      <c r="W86" s="30">
        <f t="shared" si="10"/>
        <v>4.3076899744848296E-3</v>
      </c>
      <c r="X86" s="30"/>
      <c r="Z86" s="30" t="b">
        <f t="shared" ref="Z86:Z89" si="14">IF(IF(OR(RIGHT(B86,2)="NR",RIGHT(B86,2)="ew"),"LO","Re")=LEFT(C86,2),TRUE,FALSE)</f>
        <v>1</v>
      </c>
    </row>
    <row r="87" spans="1:26">
      <c r="A87" t="str">
        <f>MLIST!A75</f>
        <v>HVAC</v>
      </c>
      <c r="B87" t="str">
        <f>MLIST!D75</f>
        <v>Controls Commissioning and Sizing - New</v>
      </c>
      <c r="C87" s="8" t="s">
        <v>500</v>
      </c>
      <c r="D87" s="30">
        <f t="shared" si="13"/>
        <v>4.2999999999999997E-2</v>
      </c>
      <c r="E87" s="30">
        <f t="shared" si="13"/>
        <v>9.5797142280278316E-2</v>
      </c>
      <c r="F87" s="30">
        <f t="shared" si="13"/>
        <v>0.16040539374775648</v>
      </c>
      <c r="G87" s="30">
        <f t="shared" si="13"/>
        <v>0.23540539374775649</v>
      </c>
      <c r="H87" s="30">
        <f t="shared" si="13"/>
        <v>0.32095239121809005</v>
      </c>
      <c r="I87" s="30">
        <f t="shared" si="13"/>
        <v>0.42096711425629652</v>
      </c>
      <c r="J87" s="30">
        <f t="shared" si="13"/>
        <v>0.53068481860864725</v>
      </c>
      <c r="K87" s="30">
        <f t="shared" si="13"/>
        <v>0.642769203728351</v>
      </c>
      <c r="L87" s="30">
        <f t="shared" si="13"/>
        <v>0.74839528535557953</v>
      </c>
      <c r="M87" s="30">
        <f t="shared" si="13"/>
        <v>0.83918984935345187</v>
      </c>
      <c r="N87" s="30">
        <f t="shared" si="13"/>
        <v>0.90945051634530116</v>
      </c>
      <c r="O87" s="30">
        <f t="shared" si="13"/>
        <v>0.9576688767502457</v>
      </c>
      <c r="P87" s="30">
        <f t="shared" si="13"/>
        <v>0.9865231113648858</v>
      </c>
      <c r="Q87" s="30">
        <f t="shared" si="13"/>
        <v>1.0012970762896924</v>
      </c>
      <c r="R87" s="30">
        <f t="shared" si="13"/>
        <v>1.0076356106578106</v>
      </c>
      <c r="S87" s="30">
        <f t="shared" si="12"/>
        <v>1.0098624683774413</v>
      </c>
      <c r="T87" s="30">
        <f t="shared" si="10"/>
        <v>1.0104871783970797</v>
      </c>
      <c r="U87" s="30">
        <f t="shared" si="10"/>
        <v>1.010623336815976</v>
      </c>
      <c r="V87" s="30">
        <f t="shared" si="10"/>
        <v>1.0106457174525985</v>
      </c>
      <c r="W87" s="30">
        <f t="shared" si="10"/>
        <v>1.0106484038909742</v>
      </c>
      <c r="X87" s="30"/>
      <c r="Z87" s="30" t="b">
        <f t="shared" si="14"/>
        <v>1</v>
      </c>
    </row>
    <row r="88" spans="1:26">
      <c r="A88" t="str">
        <f>MLIST!A76</f>
        <v>HVAC</v>
      </c>
      <c r="B88" t="str">
        <f>MLIST!D76</f>
        <v>Controls Commissioning and Sizing - NR</v>
      </c>
      <c r="C88" s="8" t="s">
        <v>500</v>
      </c>
      <c r="D88" s="30">
        <f t="shared" si="13"/>
        <v>4.2999999999999997E-2</v>
      </c>
      <c r="E88" s="30">
        <f t="shared" si="13"/>
        <v>9.5797142280278316E-2</v>
      </c>
      <c r="F88" s="30">
        <f t="shared" si="13"/>
        <v>0.16040539374775648</v>
      </c>
      <c r="G88" s="30">
        <f t="shared" si="13"/>
        <v>0.23540539374775649</v>
      </c>
      <c r="H88" s="30">
        <f t="shared" si="13"/>
        <v>0.32095239121809005</v>
      </c>
      <c r="I88" s="30">
        <f t="shared" si="13"/>
        <v>0.42096711425629652</v>
      </c>
      <c r="J88" s="30">
        <f t="shared" si="13"/>
        <v>0.53068481860864725</v>
      </c>
      <c r="K88" s="30">
        <f t="shared" si="13"/>
        <v>0.642769203728351</v>
      </c>
      <c r="L88" s="30">
        <f t="shared" si="13"/>
        <v>0.74839528535557953</v>
      </c>
      <c r="M88" s="30">
        <f t="shared" si="13"/>
        <v>0.83918984935345187</v>
      </c>
      <c r="N88" s="30">
        <f t="shared" si="13"/>
        <v>0.90945051634530116</v>
      </c>
      <c r="O88" s="30">
        <f t="shared" si="13"/>
        <v>0.9576688767502457</v>
      </c>
      <c r="P88" s="30">
        <f t="shared" si="13"/>
        <v>0.9865231113648858</v>
      </c>
      <c r="Q88" s="30">
        <f t="shared" si="13"/>
        <v>1.0012970762896924</v>
      </c>
      <c r="R88" s="30">
        <f t="shared" si="13"/>
        <v>1.0076356106578106</v>
      </c>
      <c r="S88" s="30">
        <f t="shared" si="12"/>
        <v>1.0098624683774413</v>
      </c>
      <c r="T88" s="30">
        <f t="shared" si="10"/>
        <v>1.0104871783970797</v>
      </c>
      <c r="U88" s="30">
        <f t="shared" si="10"/>
        <v>1.010623336815976</v>
      </c>
      <c r="V88" s="30">
        <f t="shared" si="10"/>
        <v>1.0106457174525985</v>
      </c>
      <c r="W88" s="30">
        <f t="shared" si="10"/>
        <v>1.0106484038909742</v>
      </c>
      <c r="X88" s="30"/>
      <c r="Z88" s="30" t="b">
        <f t="shared" si="14"/>
        <v>1</v>
      </c>
    </row>
    <row r="89" spans="1:26">
      <c r="A89" t="str">
        <f>MLIST!A77</f>
        <v>HVAC</v>
      </c>
      <c r="B89" t="str">
        <f>MLIST!D77</f>
        <v>ResWx - Retro</v>
      </c>
      <c r="C89" s="8" t="s">
        <v>482</v>
      </c>
      <c r="D89" s="30">
        <f t="shared" si="13"/>
        <v>0.10937459468255628</v>
      </c>
      <c r="E89" s="30">
        <f t="shared" si="13"/>
        <v>0.10937459468255628</v>
      </c>
      <c r="F89" s="30">
        <f t="shared" si="13"/>
        <v>0.10937459468255628</v>
      </c>
      <c r="G89" s="30">
        <f t="shared" si="13"/>
        <v>0.10937459468255628</v>
      </c>
      <c r="H89" s="30">
        <f t="shared" si="13"/>
        <v>0.10937459468255628</v>
      </c>
      <c r="I89" s="30">
        <f t="shared" si="13"/>
        <v>9.8437135214300656E-2</v>
      </c>
      <c r="J89" s="30">
        <f t="shared" si="13"/>
        <v>7.874970817144053E-2</v>
      </c>
      <c r="K89" s="30">
        <f t="shared" si="13"/>
        <v>6.2999766537152418E-2</v>
      </c>
      <c r="L89" s="30">
        <f t="shared" si="13"/>
        <v>5.0399813229721938E-2</v>
      </c>
      <c r="M89" s="30">
        <f t="shared" si="13"/>
        <v>4.0319850583777551E-2</v>
      </c>
      <c r="N89" s="30">
        <f t="shared" si="13"/>
        <v>3.225588046702204E-2</v>
      </c>
      <c r="O89" s="30">
        <f t="shared" si="13"/>
        <v>2.5804704373617631E-2</v>
      </c>
      <c r="P89" s="30">
        <f t="shared" si="13"/>
        <v>2.0643763498894106E-2</v>
      </c>
      <c r="Q89" s="30">
        <f t="shared" si="13"/>
        <v>1.6515010799115284E-2</v>
      </c>
      <c r="R89" s="30">
        <f t="shared" si="13"/>
        <v>1.3212008639292228E-2</v>
      </c>
      <c r="S89" s="30">
        <f t="shared" si="12"/>
        <v>1.0569606911433781E-2</v>
      </c>
      <c r="T89" s="30">
        <f t="shared" si="10"/>
        <v>7.2092823794611682E-5</v>
      </c>
      <c r="U89" s="30">
        <f t="shared" si="10"/>
        <v>2.5747437069512102E-5</v>
      </c>
      <c r="V89" s="30">
        <f t="shared" si="10"/>
        <v>8.7775353646568632E-6</v>
      </c>
      <c r="W89" s="30">
        <f t="shared" si="10"/>
        <v>2.8622397928446119E-6</v>
      </c>
      <c r="X89" s="30"/>
      <c r="Z89" s="30" t="b">
        <f t="shared" si="14"/>
        <v>1</v>
      </c>
    </row>
    <row r="90" spans="1:26">
      <c r="D90" s="30"/>
      <c r="E90" s="30"/>
      <c r="F90" s="30"/>
      <c r="G90" s="30"/>
      <c r="H90" s="30"/>
      <c r="I90" s="30"/>
      <c r="J90" s="30"/>
      <c r="K90" s="30"/>
      <c r="L90" s="30"/>
      <c r="M90" s="30"/>
      <c r="N90" s="30"/>
      <c r="O90" s="30"/>
      <c r="P90" s="30"/>
      <c r="Q90" s="30"/>
      <c r="R90" s="30"/>
      <c r="S90" s="30"/>
      <c r="T90" s="30"/>
      <c r="U90" s="30"/>
      <c r="V90" s="30"/>
      <c r="W90" s="30"/>
      <c r="X90" s="30"/>
    </row>
    <row r="91" spans="1:26">
      <c r="D91" s="30"/>
      <c r="E91" s="30"/>
      <c r="F91" s="30"/>
      <c r="G91" s="30"/>
      <c r="H91" s="30"/>
      <c r="I91" s="30"/>
      <c r="J91" s="30"/>
      <c r="K91" s="30"/>
      <c r="L91" s="30"/>
      <c r="M91" s="30"/>
      <c r="N91" s="30"/>
      <c r="O91" s="30"/>
      <c r="P91" s="30"/>
      <c r="Q91" s="30"/>
      <c r="R91" s="30"/>
      <c r="S91" s="30"/>
      <c r="T91" s="30"/>
      <c r="U91" s="30"/>
      <c r="V91" s="30"/>
      <c r="W91" s="30"/>
      <c r="X91" s="30"/>
    </row>
    <row r="92" spans="1:26">
      <c r="D92" s="30"/>
      <c r="E92" s="30"/>
      <c r="F92" s="30"/>
      <c r="G92" s="30"/>
      <c r="H92" s="30"/>
      <c r="I92" s="30"/>
      <c r="J92" s="30"/>
      <c r="K92" s="30"/>
      <c r="L92" s="30"/>
      <c r="M92" s="30"/>
      <c r="N92" s="30"/>
      <c r="O92" s="30"/>
      <c r="P92" s="30"/>
      <c r="Q92" s="30"/>
      <c r="R92" s="30"/>
      <c r="S92" s="30"/>
      <c r="T92" s="30"/>
      <c r="U92" s="30"/>
      <c r="V92" s="30"/>
      <c r="W92" s="30"/>
      <c r="X92" s="30"/>
    </row>
    <row r="93" spans="1:26">
      <c r="D93" s="30"/>
      <c r="E93" s="30"/>
      <c r="F93" s="30"/>
      <c r="G93" s="30"/>
      <c r="H93" s="30"/>
      <c r="I93" s="30"/>
      <c r="J93" s="30"/>
      <c r="K93" s="30"/>
      <c r="L93" s="30"/>
      <c r="M93" s="30"/>
      <c r="N93" s="30"/>
      <c r="O93" s="30"/>
      <c r="P93" s="30"/>
      <c r="Q93" s="30"/>
      <c r="R93" s="30"/>
      <c r="S93" s="30"/>
      <c r="T93" s="30"/>
      <c r="U93" s="30"/>
      <c r="V93" s="30"/>
      <c r="W93" s="30"/>
      <c r="X93" s="30"/>
    </row>
    <row r="94" spans="1:26">
      <c r="D94" s="30"/>
      <c r="E94" s="30"/>
      <c r="F94" s="30"/>
      <c r="G94" s="30"/>
      <c r="H94" s="30"/>
      <c r="I94" s="30"/>
      <c r="J94" s="30"/>
      <c r="K94" s="30"/>
      <c r="L94" s="30"/>
      <c r="M94" s="30"/>
      <c r="N94" s="30"/>
      <c r="O94" s="30"/>
      <c r="P94" s="30"/>
      <c r="Q94" s="30"/>
      <c r="R94" s="30"/>
      <c r="S94" s="30"/>
      <c r="T94" s="30"/>
      <c r="U94" s="30"/>
      <c r="V94" s="30"/>
      <c r="W94" s="30"/>
      <c r="X94" s="30"/>
    </row>
    <row r="95" spans="1:26">
      <c r="D95" s="30"/>
      <c r="E95" s="30"/>
      <c r="F95" s="30"/>
      <c r="G95" s="30"/>
      <c r="H95" s="30"/>
      <c r="I95" s="30"/>
      <c r="J95" s="30"/>
      <c r="K95" s="30"/>
      <c r="L95" s="30"/>
      <c r="M95" s="30"/>
      <c r="N95" s="30"/>
      <c r="O95" s="30"/>
      <c r="P95" s="30"/>
      <c r="Q95" s="30"/>
      <c r="R95" s="30"/>
      <c r="S95" s="30"/>
      <c r="T95" s="30"/>
      <c r="U95" s="30"/>
      <c r="V95" s="30"/>
      <c r="W95" s="30"/>
      <c r="X95" s="30"/>
    </row>
    <row r="96" spans="1:26">
      <c r="D96" s="30"/>
      <c r="E96" s="30"/>
      <c r="F96" s="30"/>
      <c r="G96" s="30"/>
      <c r="H96" s="30"/>
      <c r="I96" s="30"/>
      <c r="J96" s="30"/>
      <c r="K96" s="30"/>
      <c r="L96" s="30"/>
      <c r="M96" s="30"/>
      <c r="N96" s="30"/>
      <c r="O96" s="30"/>
      <c r="P96" s="30"/>
      <c r="Q96" s="30"/>
      <c r="R96" s="30"/>
      <c r="S96" s="30"/>
      <c r="T96" s="30"/>
      <c r="U96" s="30"/>
      <c r="V96" s="30"/>
      <c r="W96" s="30"/>
      <c r="X96" s="30"/>
    </row>
    <row r="97" spans="4:24">
      <c r="D97" s="30"/>
      <c r="E97" s="30"/>
      <c r="F97" s="30"/>
      <c r="G97" s="30"/>
      <c r="H97" s="30"/>
      <c r="I97" s="30"/>
      <c r="J97" s="30"/>
      <c r="K97" s="30"/>
      <c r="L97" s="30"/>
      <c r="M97" s="30"/>
      <c r="N97" s="30"/>
      <c r="O97" s="30"/>
      <c r="P97" s="30"/>
      <c r="Q97" s="30"/>
      <c r="R97" s="30"/>
      <c r="S97" s="30"/>
      <c r="T97" s="30"/>
      <c r="U97" s="30"/>
      <c r="V97" s="30"/>
      <c r="W97" s="30"/>
      <c r="X97" s="30"/>
    </row>
    <row r="98" spans="4:24">
      <c r="D98" s="30"/>
      <c r="E98" s="30"/>
      <c r="F98" s="30"/>
      <c r="G98" s="30"/>
      <c r="H98" s="30"/>
      <c r="I98" s="30"/>
      <c r="J98" s="30"/>
      <c r="K98" s="30"/>
      <c r="L98" s="30"/>
      <c r="M98" s="30"/>
      <c r="N98" s="30"/>
      <c r="O98" s="30"/>
      <c r="P98" s="30"/>
      <c r="Q98" s="30"/>
      <c r="R98" s="30"/>
      <c r="S98" s="30"/>
      <c r="T98" s="30"/>
      <c r="U98" s="30"/>
      <c r="V98" s="30"/>
      <c r="W98" s="30"/>
      <c r="X98" s="30"/>
    </row>
    <row r="99" spans="4:24">
      <c r="D99" s="30"/>
      <c r="E99" s="30"/>
      <c r="F99" s="30"/>
      <c r="G99" s="30"/>
      <c r="H99" s="30"/>
      <c r="I99" s="30"/>
      <c r="J99" s="30"/>
      <c r="K99" s="30"/>
      <c r="L99" s="30"/>
      <c r="M99" s="30"/>
      <c r="N99" s="30"/>
      <c r="O99" s="30"/>
      <c r="P99" s="30"/>
      <c r="Q99" s="30"/>
      <c r="R99" s="30"/>
      <c r="S99" s="30"/>
      <c r="T99" s="30"/>
      <c r="U99" s="30"/>
      <c r="V99" s="30"/>
      <c r="W99" s="30"/>
      <c r="X99" s="30"/>
    </row>
    <row r="100" spans="4:24">
      <c r="D100" s="30"/>
      <c r="E100" s="30"/>
      <c r="F100" s="30"/>
      <c r="G100" s="30"/>
      <c r="H100" s="30"/>
      <c r="I100" s="30"/>
      <c r="J100" s="30"/>
      <c r="K100" s="30"/>
      <c r="L100" s="30"/>
      <c r="M100" s="30"/>
      <c r="N100" s="30"/>
      <c r="O100" s="30"/>
      <c r="P100" s="30"/>
      <c r="Q100" s="30"/>
      <c r="R100" s="30"/>
      <c r="S100" s="30"/>
      <c r="T100" s="30"/>
      <c r="U100" s="30"/>
      <c r="V100" s="30"/>
      <c r="W100" s="30"/>
      <c r="X100" s="30"/>
    </row>
    <row r="101" spans="4:24">
      <c r="D101" s="30"/>
      <c r="E101" s="30"/>
      <c r="F101" s="30"/>
      <c r="G101" s="30"/>
      <c r="H101" s="30"/>
      <c r="I101" s="30"/>
      <c r="J101" s="30"/>
      <c r="K101" s="30"/>
      <c r="L101" s="30"/>
      <c r="M101" s="30"/>
      <c r="N101" s="30"/>
      <c r="O101" s="30"/>
      <c r="P101" s="30"/>
      <c r="Q101" s="30"/>
      <c r="R101" s="30"/>
      <c r="S101" s="30"/>
      <c r="T101" s="30"/>
      <c r="U101" s="30"/>
      <c r="V101" s="30"/>
      <c r="W101" s="30"/>
      <c r="X101" s="30"/>
    </row>
    <row r="102" spans="4:24">
      <c r="D102" s="30"/>
      <c r="E102" s="30"/>
      <c r="F102" s="30"/>
      <c r="G102" s="30"/>
      <c r="H102" s="30"/>
      <c r="I102" s="30"/>
      <c r="J102" s="30"/>
      <c r="K102" s="30"/>
      <c r="L102" s="30"/>
      <c r="M102" s="30"/>
      <c r="N102" s="30"/>
      <c r="O102" s="30"/>
      <c r="P102" s="30"/>
      <c r="Q102" s="30"/>
      <c r="R102" s="30"/>
      <c r="S102" s="30"/>
      <c r="T102" s="30"/>
      <c r="U102" s="30"/>
      <c r="V102" s="30"/>
      <c r="W102" s="30"/>
      <c r="X102" s="30"/>
    </row>
    <row r="103" spans="4:24">
      <c r="D103" s="30"/>
      <c r="E103" s="30"/>
      <c r="F103" s="30"/>
      <c r="G103" s="30"/>
      <c r="H103" s="30"/>
      <c r="I103" s="30"/>
      <c r="J103" s="30"/>
      <c r="K103" s="30"/>
      <c r="L103" s="30"/>
      <c r="M103" s="30"/>
      <c r="N103" s="30"/>
      <c r="O103" s="30"/>
      <c r="P103" s="30"/>
      <c r="Q103" s="30"/>
      <c r="R103" s="30"/>
      <c r="S103" s="30"/>
      <c r="T103" s="30"/>
      <c r="U103" s="30"/>
      <c r="V103" s="30"/>
      <c r="W103" s="30"/>
      <c r="X103" s="30"/>
    </row>
    <row r="104" spans="4:24">
      <c r="D104" s="30"/>
      <c r="E104" s="30"/>
      <c r="F104" s="30"/>
      <c r="G104" s="30"/>
      <c r="H104" s="30"/>
      <c r="I104" s="30"/>
      <c r="J104" s="30"/>
      <c r="K104" s="30"/>
      <c r="L104" s="30"/>
      <c r="M104" s="30"/>
      <c r="N104" s="30"/>
      <c r="O104" s="30"/>
      <c r="P104" s="30"/>
      <c r="Q104" s="30"/>
      <c r="R104" s="30"/>
      <c r="S104" s="30"/>
      <c r="T104" s="30"/>
      <c r="U104" s="30"/>
      <c r="V104" s="30"/>
      <c r="W104" s="30"/>
      <c r="X104" s="30"/>
    </row>
    <row r="105" spans="4:24">
      <c r="D105" s="30"/>
      <c r="E105" s="30"/>
      <c r="F105" s="30"/>
      <c r="G105" s="30"/>
      <c r="H105" s="30"/>
      <c r="I105" s="30"/>
      <c r="J105" s="30"/>
      <c r="K105" s="30"/>
      <c r="L105" s="30"/>
      <c r="M105" s="30"/>
      <c r="N105" s="30"/>
      <c r="O105" s="30"/>
      <c r="P105" s="30"/>
      <c r="Q105" s="30"/>
      <c r="R105" s="30"/>
      <c r="S105" s="30"/>
      <c r="T105" s="30"/>
      <c r="U105" s="30"/>
      <c r="V105" s="30"/>
      <c r="W105" s="30"/>
      <c r="X105" s="30"/>
    </row>
    <row r="106" spans="4:24">
      <c r="D106" s="30"/>
      <c r="E106" s="30"/>
      <c r="F106" s="30"/>
      <c r="G106" s="30"/>
      <c r="H106" s="30"/>
      <c r="I106" s="30"/>
      <c r="J106" s="30"/>
      <c r="K106" s="30"/>
      <c r="L106" s="30"/>
      <c r="M106" s="30"/>
      <c r="N106" s="30"/>
      <c r="O106" s="30"/>
      <c r="P106" s="30"/>
      <c r="Q106" s="30"/>
      <c r="R106" s="30"/>
      <c r="S106" s="30"/>
      <c r="T106" s="30"/>
      <c r="U106" s="30"/>
      <c r="V106" s="30"/>
      <c r="W106" s="30"/>
      <c r="X106" s="30"/>
    </row>
    <row r="107" spans="4:24">
      <c r="D107" s="30"/>
      <c r="E107" s="30"/>
      <c r="F107" s="30"/>
      <c r="G107" s="30"/>
      <c r="H107" s="30"/>
      <c r="I107" s="30"/>
      <c r="J107" s="30"/>
      <c r="K107" s="30"/>
      <c r="L107" s="30"/>
      <c r="M107" s="30"/>
      <c r="N107" s="30"/>
      <c r="O107" s="30"/>
      <c r="P107" s="30"/>
      <c r="Q107" s="30"/>
      <c r="R107" s="30"/>
      <c r="S107" s="30"/>
      <c r="T107" s="30"/>
      <c r="U107" s="30"/>
      <c r="V107" s="30"/>
      <c r="W107" s="30"/>
      <c r="X107" s="30"/>
    </row>
    <row r="108" spans="4:24">
      <c r="D108" s="30"/>
      <c r="E108" s="30"/>
      <c r="F108" s="30"/>
      <c r="G108" s="30"/>
      <c r="H108" s="30"/>
      <c r="I108" s="30"/>
      <c r="J108" s="30"/>
      <c r="K108" s="30"/>
      <c r="L108" s="30"/>
      <c r="M108" s="30"/>
      <c r="N108" s="30"/>
      <c r="O108" s="30"/>
      <c r="P108" s="30"/>
      <c r="Q108" s="30"/>
      <c r="R108" s="30"/>
      <c r="S108" s="30"/>
      <c r="T108" s="30"/>
      <c r="U108" s="30"/>
      <c r="V108" s="30"/>
      <c r="W108" s="30"/>
      <c r="X108" s="30"/>
    </row>
    <row r="109" spans="4:24">
      <c r="D109" s="30"/>
      <c r="E109" s="30"/>
      <c r="F109" s="30"/>
      <c r="G109" s="30"/>
      <c r="H109" s="30"/>
      <c r="I109" s="30"/>
      <c r="J109" s="30"/>
      <c r="K109" s="30"/>
      <c r="L109" s="30"/>
      <c r="M109" s="30"/>
      <c r="N109" s="30"/>
      <c r="O109" s="30"/>
      <c r="P109" s="30"/>
      <c r="Q109" s="30"/>
      <c r="R109" s="30"/>
      <c r="S109" s="30"/>
      <c r="T109" s="30"/>
      <c r="U109" s="30"/>
      <c r="V109" s="30"/>
      <c r="W109" s="30"/>
      <c r="X109" s="30"/>
    </row>
    <row r="110" spans="4:24">
      <c r="D110" s="30"/>
      <c r="E110" s="30"/>
      <c r="F110" s="30"/>
      <c r="G110" s="30"/>
      <c r="H110" s="30"/>
      <c r="I110" s="30"/>
      <c r="J110" s="30"/>
      <c r="K110" s="30"/>
      <c r="L110" s="30"/>
      <c r="M110" s="30"/>
      <c r="N110" s="30"/>
      <c r="O110" s="30"/>
      <c r="P110" s="30"/>
      <c r="Q110" s="30"/>
      <c r="R110" s="30"/>
      <c r="S110" s="30"/>
      <c r="T110" s="30"/>
      <c r="U110" s="30"/>
      <c r="V110" s="30"/>
      <c r="W110" s="30"/>
      <c r="X110" s="30"/>
    </row>
    <row r="111" spans="4:24">
      <c r="D111" s="30"/>
      <c r="E111" s="30"/>
      <c r="F111" s="30"/>
      <c r="G111" s="30"/>
      <c r="H111" s="30"/>
      <c r="I111" s="30"/>
      <c r="J111" s="30"/>
      <c r="K111" s="30"/>
      <c r="L111" s="30"/>
      <c r="M111" s="30"/>
      <c r="N111" s="30"/>
      <c r="O111" s="30"/>
      <c r="P111" s="30"/>
      <c r="Q111" s="30"/>
      <c r="R111" s="30"/>
      <c r="S111" s="30"/>
      <c r="T111" s="30"/>
      <c r="U111" s="30"/>
      <c r="V111" s="30"/>
      <c r="W111" s="30"/>
      <c r="X111" s="30"/>
    </row>
    <row r="112" spans="4:24">
      <c r="D112" s="30"/>
      <c r="E112" s="30"/>
      <c r="F112" s="30"/>
      <c r="G112" s="30"/>
      <c r="H112" s="30"/>
      <c r="I112" s="30"/>
      <c r="J112" s="30"/>
      <c r="K112" s="30"/>
      <c r="L112" s="30"/>
      <c r="M112" s="30"/>
      <c r="N112" s="30"/>
      <c r="O112" s="30"/>
      <c r="P112" s="30"/>
      <c r="Q112" s="30"/>
      <c r="R112" s="30"/>
      <c r="S112" s="30"/>
      <c r="T112" s="30"/>
      <c r="U112" s="30"/>
      <c r="V112" s="30"/>
      <c r="W112" s="30"/>
      <c r="X112" s="30"/>
    </row>
    <row r="113" spans="4:24">
      <c r="D113" s="30"/>
      <c r="E113" s="30"/>
      <c r="F113" s="30"/>
      <c r="G113" s="30"/>
      <c r="H113" s="30"/>
      <c r="I113" s="30"/>
      <c r="J113" s="30"/>
      <c r="K113" s="30"/>
      <c r="L113" s="30"/>
      <c r="M113" s="30"/>
      <c r="N113" s="30"/>
      <c r="O113" s="30"/>
      <c r="P113" s="30"/>
      <c r="Q113" s="30"/>
      <c r="R113" s="30"/>
      <c r="S113" s="30"/>
      <c r="T113" s="30"/>
      <c r="U113" s="30"/>
      <c r="V113" s="30"/>
      <c r="W113" s="30"/>
      <c r="X113" s="30"/>
    </row>
    <row r="114" spans="4:24">
      <c r="D114" s="30"/>
      <c r="E114" s="30"/>
      <c r="F114" s="30"/>
      <c r="G114" s="30"/>
      <c r="H114" s="30"/>
      <c r="I114" s="30"/>
      <c r="J114" s="30"/>
      <c r="K114" s="30"/>
      <c r="L114" s="30"/>
      <c r="M114" s="30"/>
      <c r="N114" s="30"/>
      <c r="O114" s="30"/>
      <c r="P114" s="30"/>
      <c r="Q114" s="30"/>
      <c r="R114" s="30"/>
      <c r="S114" s="30"/>
      <c r="T114" s="30"/>
      <c r="U114" s="30"/>
      <c r="V114" s="30"/>
      <c r="W114" s="30"/>
      <c r="X114" s="30"/>
    </row>
    <row r="115" spans="4:24">
      <c r="D115" s="30"/>
      <c r="E115" s="30"/>
      <c r="F115" s="30"/>
      <c r="G115" s="30"/>
      <c r="H115" s="30"/>
      <c r="I115" s="30"/>
      <c r="J115" s="30"/>
      <c r="K115" s="30"/>
      <c r="L115" s="30"/>
      <c r="M115" s="30"/>
      <c r="N115" s="30"/>
      <c r="O115" s="30"/>
      <c r="P115" s="30"/>
      <c r="Q115" s="30"/>
      <c r="R115" s="30"/>
      <c r="S115" s="30"/>
      <c r="T115" s="30"/>
      <c r="U115" s="30"/>
      <c r="V115" s="30"/>
      <c r="W115" s="30"/>
      <c r="X115" s="30"/>
    </row>
  </sheetData>
  <phoneticPr fontId="0" type="noConversion"/>
  <pageMargins left="0.75" right="0.75" top="1" bottom="1" header="0.5" footer="0.5"/>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codeName="Sheet16" enableFormatConditionsCalculation="0">
    <tabColor indexed="43"/>
  </sheetPr>
  <dimension ref="A1:D101"/>
  <sheetViews>
    <sheetView topLeftCell="A13" zoomScale="72" workbookViewId="0">
      <selection activeCell="B40" sqref="B40:B43"/>
    </sheetView>
  </sheetViews>
  <sheetFormatPr defaultRowHeight="12.75"/>
  <cols>
    <col min="1" max="1" width="14.7109375" customWidth="1"/>
    <col min="2" max="2" width="45.28515625" customWidth="1"/>
    <col min="3" max="3" width="80.5703125" customWidth="1"/>
    <col min="4" max="4" width="10" customWidth="1"/>
  </cols>
  <sheetData>
    <row r="1" spans="1:4">
      <c r="A1" t="s">
        <v>35</v>
      </c>
      <c r="B1" t="s">
        <v>4</v>
      </c>
    </row>
    <row r="8" spans="1:4">
      <c r="B8" s="11"/>
      <c r="C8" s="11"/>
      <c r="D8" s="13"/>
    </row>
    <row r="9" spans="1:4">
      <c r="A9" s="28" t="s">
        <v>39</v>
      </c>
      <c r="B9" s="28" t="str">
        <f>FEAS!B8</f>
        <v>Measure Index Name</v>
      </c>
      <c r="C9" s="28" t="s">
        <v>4</v>
      </c>
      <c r="D9" s="13"/>
    </row>
    <row r="10" spans="1:4" ht="12.75" customHeight="1">
      <c r="B10" s="13" t="str">
        <f>MLIST!D9</f>
        <v>Lighting - New</v>
      </c>
    </row>
    <row r="11" spans="1:4">
      <c r="B11" s="13" t="str">
        <f>MLIST!D10</f>
        <v>Lighting - NR</v>
      </c>
    </row>
    <row r="12" spans="1:4">
      <c r="B12" s="13" t="str">
        <f>MLIST!D11</f>
        <v>Lighting - PPA</v>
      </c>
    </row>
    <row r="13" spans="1:4">
      <c r="B13" s="13" t="str">
        <f>MLIST!D12</f>
        <v>Dishwasher - New</v>
      </c>
    </row>
    <row r="14" spans="1:4">
      <c r="B14" s="13" t="str">
        <f>MLIST!D13</f>
        <v>Dishwasher - NR</v>
      </c>
    </row>
    <row r="15" spans="1:4">
      <c r="B15" s="13" t="str">
        <f>MLIST!D14</f>
        <v>Clothes Washer - New</v>
      </c>
    </row>
    <row r="16" spans="1:4">
      <c r="B16" s="13" t="str">
        <f>MLIST!D15</f>
        <v>Clothes Washer - NR</v>
      </c>
    </row>
    <row r="17" spans="2:2">
      <c r="B17" s="13" t="str">
        <f>MLIST!D16</f>
        <v>WasteWater Heat Recovery - New</v>
      </c>
    </row>
    <row r="18" spans="2:2">
      <c r="B18" s="13" t="str">
        <f>MLIST!D17</f>
        <v>Showerheads - New</v>
      </c>
    </row>
    <row r="19" spans="2:2">
      <c r="B19" s="13" t="str">
        <f>MLIST!D18</f>
        <v>Showerheads - Retro</v>
      </c>
    </row>
    <row r="20" spans="2:2">
      <c r="B20" s="13" t="str">
        <f>MLIST!D19</f>
        <v>HPWH - New</v>
      </c>
    </row>
    <row r="21" spans="2:2">
      <c r="B21" s="13" t="str">
        <f>MLIST!D20</f>
        <v>HPWH - NR</v>
      </c>
    </row>
    <row r="22" spans="2:2">
      <c r="B22" s="13" t="str">
        <f>MLIST!D21</f>
        <v>EV Supply Equip - NR</v>
      </c>
    </row>
    <row r="23" spans="2:2">
      <c r="B23" s="13" t="str">
        <f>MLIST!D22</f>
        <v>Clothes Dryer - New</v>
      </c>
    </row>
    <row r="24" spans="2:2">
      <c r="B24" s="13" t="str">
        <f>MLIST!D23</f>
        <v>Clothes Dryer - NR</v>
      </c>
    </row>
    <row r="25" spans="2:2">
      <c r="B25" s="13" t="str">
        <f>MLIST!D24</f>
        <v>Refrigerator - New</v>
      </c>
    </row>
    <row r="26" spans="2:2">
      <c r="B26" s="13" t="str">
        <f>MLIST!D25</f>
        <v>Refrigerator - NR</v>
      </c>
    </row>
    <row r="27" spans="2:2">
      <c r="B27" s="13" t="str">
        <f>MLIST!D26</f>
        <v>Freezer - New</v>
      </c>
    </row>
    <row r="28" spans="2:2">
      <c r="B28" s="13" t="str">
        <f>MLIST!D27</f>
        <v>Freezer - NR</v>
      </c>
    </row>
    <row r="29" spans="2:2">
      <c r="B29" s="13" t="str">
        <f>MLIST!D28</f>
        <v>Solar Water Heater - New</v>
      </c>
    </row>
    <row r="30" spans="2:2">
      <c r="B30" s="13" t="str">
        <f>MLIST!D29</f>
        <v>Solar Water Heater - NR</v>
      </c>
    </row>
    <row r="31" spans="2:2">
      <c r="B31" s="13" t="str">
        <f>MLIST!D30</f>
        <v>Solar Water Heater - Retro</v>
      </c>
    </row>
    <row r="32" spans="2:2">
      <c r="B32" s="13">
        <f>MLIST!D31</f>
        <v>0</v>
      </c>
    </row>
    <row r="33" spans="2:2">
      <c r="B33" s="13">
        <f>MLIST!D32</f>
        <v>0</v>
      </c>
    </row>
    <row r="34" spans="2:2">
      <c r="B34" s="13" t="str">
        <f>MLIST!D35</f>
        <v>Microwave - New</v>
      </c>
    </row>
    <row r="35" spans="2:2">
      <c r="B35" s="13" t="str">
        <f>MLIST!D36</f>
        <v>Microwave - NR</v>
      </c>
    </row>
    <row r="36" spans="2:2">
      <c r="B36" s="13" t="str">
        <f>MLIST!D37</f>
        <v>Monitor - New</v>
      </c>
    </row>
    <row r="37" spans="2:2">
      <c r="B37" s="13" t="str">
        <f>MLIST!D38</f>
        <v>Monitor - NR</v>
      </c>
    </row>
    <row r="38" spans="2:2">
      <c r="B38" s="13" t="str">
        <f>MLIST!D39</f>
        <v>Desktop - New</v>
      </c>
    </row>
    <row r="39" spans="2:2">
      <c r="B39" s="13" t="str">
        <f>MLIST!D40</f>
        <v>Desktop - NR</v>
      </c>
    </row>
    <row r="40" spans="2:2">
      <c r="B40" s="13" t="str">
        <f>MLIST!D41</f>
        <v>Laptop - New</v>
      </c>
    </row>
    <row r="41" spans="2:2">
      <c r="B41" s="13" t="str">
        <f>MLIST!D42</f>
        <v>Laptop - NR</v>
      </c>
    </row>
    <row r="42" spans="2:2">
      <c r="B42" s="13" t="str">
        <f>MLIST!D43</f>
        <v>Computer - New</v>
      </c>
    </row>
    <row r="43" spans="2:2">
      <c r="B43" s="13" t="str">
        <f>MLIST!D44</f>
        <v>Computer - NR</v>
      </c>
    </row>
    <row r="44" spans="2:2">
      <c r="B44" s="13" t="str">
        <f>MLIST!D45</f>
        <v>ASHP - New</v>
      </c>
    </row>
    <row r="45" spans="2:2">
      <c r="B45" s="13" t="str">
        <f>MLIST!D46</f>
        <v>ASHP - NR</v>
      </c>
    </row>
    <row r="46" spans="2:2">
      <c r="B46" s="13" t="str">
        <f>MLIST!D47</f>
        <v>HP - Retro</v>
      </c>
    </row>
    <row r="47" spans="2:2">
      <c r="B47" s="13" t="str">
        <f>MLIST!D48</f>
        <v>DHP - New</v>
      </c>
    </row>
    <row r="48" spans="2:2">
      <c r="B48" s="13" t="str">
        <f>MLIST!D49</f>
        <v>DHP - NR</v>
      </c>
    </row>
    <row r="49" spans="2:2">
      <c r="B49" s="13" t="str">
        <f>MLIST!D50</f>
        <v>DHP - Retro</v>
      </c>
    </row>
    <row r="50" spans="2:2">
      <c r="B50" s="13" t="str">
        <f>MLIST!D51</f>
        <v>Duct Sealing - New</v>
      </c>
    </row>
    <row r="51" spans="2:2">
      <c r="B51" s="13" t="str">
        <f>MLIST!D52</f>
        <v>Duct Sealing - Retro</v>
      </c>
    </row>
    <row r="52" spans="2:2">
      <c r="B52" s="13" t="str">
        <f>MLIST!D53</f>
        <v>WIFI enabled tstats - New</v>
      </c>
    </row>
    <row r="53" spans="2:2">
      <c r="B53" s="13" t="str">
        <f>MLIST!D54</f>
        <v>WIFI enabled tstats - Retro</v>
      </c>
    </row>
    <row r="54" spans="2:2">
      <c r="B54" s="13" t="str">
        <f>MLIST!D55</f>
        <v>Combo DHP/HPWH units - New</v>
      </c>
    </row>
    <row r="55" spans="2:2">
      <c r="B55" s="13" t="str">
        <f>MLIST!D56</f>
        <v>Combo DHP/HPWH units - NR</v>
      </c>
    </row>
    <row r="56" spans="2:2">
      <c r="B56" s="13" t="str">
        <f>MLIST!D57</f>
        <v>Combo DHP/HPWH units - Retro</v>
      </c>
    </row>
    <row r="57" spans="2:2">
      <c r="B57" s="13" t="str">
        <f>MLIST!D58</f>
        <v>Aerator - New</v>
      </c>
    </row>
    <row r="58" spans="2:2">
      <c r="B58" s="13" t="str">
        <f>MLIST!D59</f>
        <v>Aerator - Retro</v>
      </c>
    </row>
    <row r="59" spans="2:2">
      <c r="B59" s="13" t="str">
        <f>MLIST!D60</f>
        <v>Behavior - Retro</v>
      </c>
    </row>
    <row r="60" spans="2:2">
      <c r="B60" s="13" t="str">
        <f>MLIST!D61</f>
        <v>Behavior - New</v>
      </c>
    </row>
    <row r="61" spans="2:2">
      <c r="B61" s="13">
        <f>MLIST!D62</f>
        <v>0</v>
      </c>
    </row>
    <row r="62" spans="2:2">
      <c r="B62" s="13" t="str">
        <f>MLIST!D63</f>
        <v>Heat Recovery Ventilation - New</v>
      </c>
    </row>
    <row r="63" spans="2:2">
      <c r="B63" s="13" t="str">
        <f>MLIST!D64</f>
        <v>GSHP - New</v>
      </c>
    </row>
    <row r="64" spans="2:2">
      <c r="B64" s="13" t="str">
        <f>MLIST!D65</f>
        <v>GSHP - NR</v>
      </c>
    </row>
    <row r="65" spans="2:2">
      <c r="B65" s="13">
        <f>MLIST!D66</f>
        <v>0</v>
      </c>
    </row>
    <row r="66" spans="2:2">
      <c r="B66" s="13" t="str">
        <f>MLIST!D67</f>
        <v>ECM for HVAC ventilation - New</v>
      </c>
    </row>
    <row r="67" spans="2:2">
      <c r="B67" s="13" t="str">
        <f>MLIST!D68</f>
        <v>ECM for HVAC ventilation - NR</v>
      </c>
    </row>
    <row r="68" spans="2:2">
      <c r="B68" s="13" t="str">
        <f>MLIST!D69</f>
        <v>Whole house/attic fan - New</v>
      </c>
    </row>
    <row r="69" spans="2:2">
      <c r="B69" s="13" t="str">
        <f>MLIST!D70</f>
        <v>Whole house/attic fan - Retro</v>
      </c>
    </row>
    <row r="70" spans="2:2">
      <c r="B70" s="13" t="str">
        <f>MLIST!D71</f>
        <v>WH Pipe insulation - Retro</v>
      </c>
    </row>
    <row r="71" spans="2:2">
      <c r="B71" s="13" t="str">
        <f>MLIST!D72</f>
        <v>DHP Ducted - NR</v>
      </c>
    </row>
    <row r="72" spans="2:2">
      <c r="B72" s="13" t="str">
        <f>MLIST!D73</f>
        <v>Advanced Power Strips - New</v>
      </c>
    </row>
    <row r="73" spans="2:2">
      <c r="B73" s="13" t="str">
        <f>MLIST!D74</f>
        <v>Advanced Power Strips - Retro</v>
      </c>
    </row>
    <row r="74" spans="2:2">
      <c r="B74" s="13" t="str">
        <f>MLIST!D77</f>
        <v>ResWx - Retro</v>
      </c>
    </row>
    <row r="75" spans="2:2">
      <c r="B75" s="13" t="str">
        <f>MLIST!D78</f>
        <v>ATTIC R0 - R19 - Retro</v>
      </c>
    </row>
    <row r="76" spans="2:2">
      <c r="B76" s="13" t="str">
        <f>MLIST!D81</f>
        <v>ATTIC R0 - R38 - Retro</v>
      </c>
    </row>
    <row r="77" spans="2:2">
      <c r="B77" s="13" t="str">
        <f>MLIST!D82</f>
        <v>ATTIC R0 - R49 - Retro</v>
      </c>
    </row>
    <row r="78" spans="2:2">
      <c r="B78" s="13" t="str">
        <f>MLIST!D84</f>
        <v>ATTIC R11 - R38 - Retro</v>
      </c>
    </row>
    <row r="79" spans="2:2">
      <c r="B79" s="13" t="str">
        <f>MLIST!D85</f>
        <v>ATTIC R11 - R49 - Retro</v>
      </c>
    </row>
    <row r="80" spans="2:2">
      <c r="B80" s="13" t="str">
        <f>MLIST!D86</f>
        <v>ATTIC R19 - R30 - Retro</v>
      </c>
    </row>
    <row r="81" spans="2:2">
      <c r="B81" s="13" t="str">
        <f>MLIST!D87</f>
        <v>ATTIC R19 - R38 - Retro</v>
      </c>
    </row>
    <row r="82" spans="2:2">
      <c r="B82" s="13" t="str">
        <f>MLIST!D88</f>
        <v>ATTIC R19 - R49 - Retro</v>
      </c>
    </row>
    <row r="83" spans="2:2">
      <c r="B83" s="13" t="str">
        <f>MLIST!D89</f>
        <v>WALL R0 - R11 - Retro</v>
      </c>
    </row>
    <row r="84" spans="2:2">
      <c r="B84" s="13" t="str">
        <f>MLIST!D90</f>
        <v>FLOOR R0 - R19 - Retro</v>
      </c>
    </row>
    <row r="85" spans="2:2">
      <c r="B85" s="13" t="str">
        <f>MLIST!D92</f>
        <v>FLOOR R0 - R25 - Retro</v>
      </c>
    </row>
    <row r="86" spans="2:2">
      <c r="B86" s="13" t="str">
        <f>MLIST!D93</f>
        <v>FLOOR R0 - R30 - Retro</v>
      </c>
    </row>
    <row r="87" spans="2:2">
      <c r="B87" s="13" t="str">
        <f>MLIST!D95</f>
        <v>WINDOW CL30 Prime Window Replacement of Single Pane Base - Retro</v>
      </c>
    </row>
    <row r="88" spans="2:2">
      <c r="B88" s="13" t="str">
        <f>MLIST!D96</f>
        <v>WINDOW CL30 Prime Window Replacement of Double Pane Base - Retro</v>
      </c>
    </row>
    <row r="89" spans="2:2">
      <c r="B89" s="13" t="e">
        <f>MLIST!#REF!</f>
        <v>#REF!</v>
      </c>
    </row>
    <row r="90" spans="2:2">
      <c r="B90" s="13" t="str">
        <f>MLIST!D97</f>
        <v>WINDOW CL22 Prime Window Replacement of Single Pane Base - Retro</v>
      </c>
    </row>
    <row r="91" spans="2:2">
      <c r="B91" s="13" t="str">
        <f>MLIST!D98</f>
        <v>WINDOW CL22 Prime Window Replacement of Double Pane Base - Retro</v>
      </c>
    </row>
    <row r="92" spans="2:2">
      <c r="B92" s="13" t="e">
        <f>MLIST!#REF!</f>
        <v>#REF!</v>
      </c>
    </row>
    <row r="93" spans="2:2">
      <c r="B93" s="13" t="str">
        <f>MLIST!D99</f>
        <v>CFM50 Infiltration Reduction - Retro</v>
      </c>
    </row>
    <row r="94" spans="2:2">
      <c r="B94" s="13" t="str">
        <f>MLIST!D75</f>
        <v>Controls Commissioning and Sizing - New</v>
      </c>
    </row>
    <row r="95" spans="2:2">
      <c r="B95" s="13" t="str">
        <f>MLIST!D76</f>
        <v>Controls Commissioning and Sizing - NR</v>
      </c>
    </row>
    <row r="96" spans="2:2">
      <c r="B96" s="13">
        <f>MLIST!D100</f>
        <v>0</v>
      </c>
    </row>
    <row r="97" spans="2:2">
      <c r="B97" s="13"/>
    </row>
    <row r="98" spans="2:2">
      <c r="B98" s="13"/>
    </row>
    <row r="99" spans="2:2">
      <c r="B99" s="13"/>
    </row>
    <row r="100" spans="2:2">
      <c r="B100" s="13"/>
    </row>
    <row r="101" spans="2:2">
      <c r="B101" s="13"/>
    </row>
  </sheetData>
  <phoneticPr fontId="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sheetPr codeName="Sheet7" enableFormatConditionsCalculation="0">
    <tabColor rgb="FFFF0000"/>
    <pageSetUpPr fitToPage="1"/>
  </sheetPr>
  <dimension ref="A1:S372"/>
  <sheetViews>
    <sheetView zoomScale="88" zoomScaleNormal="58" zoomScaleSheetLayoutView="55" workbookViewId="0">
      <pane xSplit="2" ySplit="7" topLeftCell="C38" activePane="bottomRight" state="frozen"/>
      <selection pane="topRight" activeCell="C1" sqref="C1"/>
      <selection pane="bottomLeft" activeCell="A10" sqref="A10"/>
      <selection pane="bottomRight" activeCell="I81" sqref="I81"/>
    </sheetView>
  </sheetViews>
  <sheetFormatPr defaultRowHeight="12.75"/>
  <cols>
    <col min="1" max="1" width="14" customWidth="1"/>
    <col min="2" max="2" width="28.5703125" customWidth="1"/>
    <col min="3" max="3" width="13.140625" bestFit="1" customWidth="1"/>
    <col min="4" max="4" width="20.7109375" bestFit="1" customWidth="1"/>
    <col min="5" max="5" width="21.28515625" bestFit="1" customWidth="1"/>
    <col min="6" max="6" width="15.5703125" customWidth="1"/>
    <col min="7" max="7" width="13" style="10" customWidth="1"/>
  </cols>
  <sheetData>
    <row r="1" spans="1:19">
      <c r="A1" s="25"/>
    </row>
    <row r="2" spans="1:19">
      <c r="A2" s="25"/>
    </row>
    <row r="3" spans="1:19">
      <c r="A3" s="25"/>
    </row>
    <row r="4" spans="1:19">
      <c r="A4" s="25"/>
    </row>
    <row r="5" spans="1:19">
      <c r="A5" t="s">
        <v>172</v>
      </c>
    </row>
    <row r="6" spans="1:19">
      <c r="A6" s="27" t="s">
        <v>0</v>
      </c>
      <c r="B6" s="27"/>
    </row>
    <row r="7" spans="1:19">
      <c r="B7" s="27"/>
    </row>
    <row r="8" spans="1:19">
      <c r="A8" s="31"/>
      <c r="C8" s="40"/>
      <c r="F8" s="30"/>
    </row>
    <row r="9" spans="1:19">
      <c r="A9" s="17" t="s">
        <v>398</v>
      </c>
      <c r="B9" s="12" t="s">
        <v>237</v>
      </c>
      <c r="C9" s="3" t="s">
        <v>79</v>
      </c>
    </row>
    <row r="10" spans="1:19" ht="27" customHeight="1">
      <c r="B10" s="3" t="s">
        <v>157</v>
      </c>
      <c r="C10" s="3" t="s">
        <v>135</v>
      </c>
      <c r="D10" s="3" t="s">
        <v>136</v>
      </c>
      <c r="E10" s="3" t="s">
        <v>137</v>
      </c>
      <c r="F10" s="3" t="s">
        <v>138</v>
      </c>
      <c r="G10" s="4" t="s">
        <v>325</v>
      </c>
      <c r="P10" s="3" t="s">
        <v>135</v>
      </c>
      <c r="Q10" s="3" t="s">
        <v>136</v>
      </c>
      <c r="R10" s="3" t="s">
        <v>137</v>
      </c>
      <c r="S10" s="3" t="s">
        <v>138</v>
      </c>
    </row>
    <row r="11" spans="1:19" ht="27" customHeight="1">
      <c r="B11" s="12" t="str">
        <f>Vars!A6</f>
        <v>Electric FAF - HZ1CZ1</v>
      </c>
      <c r="C11" s="49">
        <f>[29]SF!I12</f>
        <v>6.8910359437455118E-2</v>
      </c>
      <c r="D11" s="49">
        <f>[29]MF!$I$11</f>
        <v>2.9671514740017984E-2</v>
      </c>
      <c r="E11" s="49">
        <f>D11</f>
        <v>2.9671514740017984E-2</v>
      </c>
      <c r="F11" s="49">
        <f>[29]MH!$I$12</f>
        <v>0.68310644913823848</v>
      </c>
      <c r="G11" s="95">
        <f>SUMPRODUCT($C11:$F11,$P$11:$S$11)</f>
        <v>0.12202156005203085</v>
      </c>
      <c r="O11" t="s">
        <v>326</v>
      </c>
      <c r="P11" s="30">
        <v>0.71024544302937254</v>
      </c>
      <c r="Q11" s="30">
        <v>0.15571012661832076</v>
      </c>
      <c r="R11" s="30">
        <v>3.5364621114215594E-2</v>
      </c>
      <c r="S11" s="30">
        <v>9.8679809238090999E-2</v>
      </c>
    </row>
    <row r="12" spans="1:19">
      <c r="B12" s="12" t="str">
        <f>Vars!A7</f>
        <v>Electric FAF - HZ1CZ23</v>
      </c>
      <c r="C12" s="49">
        <f>[29]SF!J12</f>
        <v>5.5704832325126567E-2</v>
      </c>
      <c r="D12" s="49">
        <f>[29]MF!$J$11</f>
        <v>0</v>
      </c>
      <c r="E12" s="49">
        <f t="shared" ref="E12:E66" si="0">D12</f>
        <v>0</v>
      </c>
      <c r="F12" s="49">
        <f>[29]MH!$J$12</f>
        <v>0.53068387215316171</v>
      </c>
      <c r="G12" s="95">
        <f t="shared" ref="G12:G66" si="1">SUMPRODUCT($C12:$F12,$P$11:$S$11)</f>
        <v>9.1931886583441896E-2</v>
      </c>
    </row>
    <row r="13" spans="1:19">
      <c r="B13" s="12" t="str">
        <f>Vars!A8</f>
        <v>Electric FAF - HZ23CZ1</v>
      </c>
      <c r="C13" s="51">
        <f>[29]SF!I13</f>
        <v>6.6557500117039647E-2</v>
      </c>
      <c r="D13" s="51">
        <f>[29]MF!$I$12</f>
        <v>0</v>
      </c>
      <c r="E13" s="49">
        <f t="shared" si="0"/>
        <v>0</v>
      </c>
      <c r="F13" s="51">
        <f>[29]MH!$I$13</f>
        <v>0.29641575914254098</v>
      </c>
      <c r="G13" s="95">
        <f t="shared" si="1"/>
        <v>7.6522411724904205E-2</v>
      </c>
    </row>
    <row r="14" spans="1:19">
      <c r="A14" s="43"/>
      <c r="B14" s="12" t="str">
        <f>Vars!A9</f>
        <v>Electric FAF - HZ23CZ23</v>
      </c>
      <c r="C14" s="49">
        <v>4.1453999442898203E-2</v>
      </c>
      <c r="D14" s="49">
        <f>[29]MF!$J$12</f>
        <v>0</v>
      </c>
      <c r="E14" s="49">
        <f t="shared" si="0"/>
        <v>0</v>
      </c>
      <c r="F14" s="52">
        <f>[29]MH!$J$13</f>
        <v>0.49242118699820225</v>
      </c>
      <c r="G14" s="95">
        <f t="shared" si="1"/>
        <v>7.8034542997437534E-2</v>
      </c>
    </row>
    <row r="15" spans="1:19">
      <c r="A15" s="43"/>
      <c r="B15" s="12" t="str">
        <f>Vars!A10</f>
        <v>Electric FAF - HZ1</v>
      </c>
      <c r="C15" s="52">
        <f>[29]SF!$L$12</f>
        <v>6.3764394229545662E-2</v>
      </c>
      <c r="D15" s="51">
        <f>[29]MF!$L$11</f>
        <v>2.279607208754721E-2</v>
      </c>
      <c r="E15" s="49">
        <f t="shared" si="0"/>
        <v>2.279607208754721E-2</v>
      </c>
      <c r="F15" s="52">
        <f>[29]MH!$L$12</f>
        <v>0.6103855317692306</v>
      </c>
      <c r="G15" s="95">
        <f t="shared" si="1"/>
        <v>0.10987685198916242</v>
      </c>
    </row>
    <row r="16" spans="1:19">
      <c r="A16" s="43"/>
      <c r="B16" s="12" t="str">
        <f>Vars!A11</f>
        <v>Electric FAF - HZ23</v>
      </c>
      <c r="C16" s="52">
        <f>[29]SF!$L$13</f>
        <v>4.8202841751037277E-2</v>
      </c>
      <c r="D16" s="49">
        <f>[29]MF!$L$12</f>
        <v>0</v>
      </c>
      <c r="E16" s="49">
        <f t="shared" si="0"/>
        <v>0</v>
      </c>
      <c r="F16" s="52">
        <f>[29]MH!$L$13</f>
        <v>0.42117367880782697</v>
      </c>
      <c r="G16" s="95">
        <f t="shared" si="1"/>
        <v>7.5797186975601588E-2</v>
      </c>
    </row>
    <row r="17" spans="1:7">
      <c r="A17" s="43"/>
      <c r="B17" s="12" t="str">
        <f>Vars!A12</f>
        <v>Electric FAF - Region</v>
      </c>
      <c r="C17" s="52">
        <f>[29]SF!$L$15</f>
        <v>5.9888429585079297E-2</v>
      </c>
      <c r="D17" s="51">
        <f>[29]MF!$L$14</f>
        <v>1.96145349060163E-2</v>
      </c>
      <c r="E17" s="49">
        <f t="shared" si="0"/>
        <v>1.96145349060163E-2</v>
      </c>
      <c r="F17" s="52">
        <f>[29]MH!$L$15</f>
        <v>0.54052539788177201</v>
      </c>
      <c r="G17" s="95">
        <f t="shared" si="1"/>
        <v>9.9622269663362628E-2</v>
      </c>
    </row>
    <row r="18" spans="1:7">
      <c r="A18" s="43"/>
      <c r="B18" s="12" t="str">
        <f>Vars!A13</f>
        <v>Electric FAF w/ CAC - HZ1CZ1</v>
      </c>
      <c r="C18" s="52">
        <f>[29]SF!$I$20</f>
        <v>1.5601272192892677E-2</v>
      </c>
      <c r="D18" s="52">
        <f>[29]MF!$I$19</f>
        <v>0</v>
      </c>
      <c r="E18" s="49">
        <f t="shared" si="0"/>
        <v>0</v>
      </c>
      <c r="F18" s="52">
        <f>[29]MH!$I$20</f>
        <v>0.15868069027846163</v>
      </c>
      <c r="G18" s="95">
        <f t="shared" si="1"/>
        <v>2.6739312726910082E-2</v>
      </c>
    </row>
    <row r="19" spans="1:7">
      <c r="A19" s="43"/>
      <c r="B19" s="12" t="str">
        <f>Vars!A14</f>
        <v>Electric FAF w/ CAC - HZ1CZ23</v>
      </c>
      <c r="C19" s="52">
        <f>[29]SF!$J$20</f>
        <v>0</v>
      </c>
      <c r="D19" s="52">
        <f>[29]MF!$J$19</f>
        <v>0</v>
      </c>
      <c r="E19" s="49">
        <f t="shared" si="0"/>
        <v>0</v>
      </c>
      <c r="F19" s="52">
        <f>[29]MH!$J$20</f>
        <v>4.8523578535561704E-2</v>
      </c>
      <c r="G19" s="95">
        <f t="shared" si="1"/>
        <v>4.7882974734387556E-3</v>
      </c>
    </row>
    <row r="20" spans="1:7">
      <c r="A20" s="43"/>
      <c r="B20" s="12" t="str">
        <f>Vars!A15</f>
        <v>Electric FAF w/ CAC - HZ23CZ1</v>
      </c>
      <c r="C20" s="52">
        <f>[29]SF!$I$21</f>
        <v>0</v>
      </c>
      <c r="D20" s="52">
        <f>[29]MF!$I$20</f>
        <v>0</v>
      </c>
      <c r="E20" s="49">
        <f t="shared" si="0"/>
        <v>0</v>
      </c>
      <c r="F20" s="52">
        <f>[29]MH!$I$21</f>
        <v>8.6847892074621388E-2</v>
      </c>
      <c r="G20" s="95">
        <f t="shared" si="1"/>
        <v>8.5701334226539541E-3</v>
      </c>
    </row>
    <row r="21" spans="1:7">
      <c r="A21" s="43"/>
      <c r="B21" s="12" t="str">
        <f>Vars!A16</f>
        <v>Electric FAF w/ CAC - HZ23CZ23</v>
      </c>
      <c r="C21" s="52">
        <f>[29]SF!$J$21</f>
        <v>0</v>
      </c>
      <c r="D21" s="52">
        <f>[29]MF!$J$20</f>
        <v>0</v>
      </c>
      <c r="E21" s="49">
        <f t="shared" si="0"/>
        <v>0</v>
      </c>
      <c r="F21" s="52">
        <f>[29]MH!$J$21</f>
        <v>6.4577174474630405E-2</v>
      </c>
      <c r="G21" s="95">
        <f t="shared" si="1"/>
        <v>6.3724632582914473E-3</v>
      </c>
    </row>
    <row r="22" spans="1:7">
      <c r="A22" s="43"/>
      <c r="B22" s="12" t="str">
        <f>Vars!A17</f>
        <v>Heat Pump - HZ1CZ1</v>
      </c>
      <c r="C22" s="52">
        <f>[29]SF!$I$27</f>
        <v>0.13597821666189061</v>
      </c>
      <c r="D22" s="52">
        <f>[29]MF!$I$26</f>
        <v>1.0945836048995988E-3</v>
      </c>
      <c r="E22" s="49">
        <f t="shared" si="0"/>
        <v>1.0945836048995988E-3</v>
      </c>
      <c r="F22" s="52">
        <f>[29]MH!$I$27</f>
        <v>0.11042200533666623</v>
      </c>
      <c r="G22" s="95">
        <f t="shared" si="1"/>
        <v>0.10768347844385656</v>
      </c>
    </row>
    <row r="23" spans="1:7">
      <c r="A23" s="43"/>
      <c r="B23" s="12" t="str">
        <f>Vars!A18</f>
        <v>Heat Pump - HZ1CZ23</v>
      </c>
      <c r="C23" s="51">
        <f>[29]SF!$J$27</f>
        <v>0.23487960154215734</v>
      </c>
      <c r="D23" s="52">
        <f>[29]MF!$J$26</f>
        <v>4.9999998343195358E-2</v>
      </c>
      <c r="E23" s="49">
        <f t="shared" si="0"/>
        <v>4.9999998343195358E-2</v>
      </c>
      <c r="F23" s="52">
        <f>[29]MH!$J$27</f>
        <v>0.3014354043468136</v>
      </c>
      <c r="G23" s="95">
        <f t="shared" si="1"/>
        <v>0.20612149192447571</v>
      </c>
    </row>
    <row r="24" spans="1:7">
      <c r="A24" s="43"/>
      <c r="B24" s="12" t="str">
        <f>Vars!A19</f>
        <v>Heat Pump - HZ23CZ1</v>
      </c>
      <c r="C24" s="49">
        <f>[29]SF!$I$28</f>
        <v>5.8367674105625697E-2</v>
      </c>
      <c r="D24" s="52">
        <f>[29]MF!$I$27</f>
        <v>0</v>
      </c>
      <c r="E24" s="49">
        <f t="shared" si="0"/>
        <v>0</v>
      </c>
      <c r="F24" s="52">
        <f>[29]MH!$I$28</f>
        <v>1.6598912836278519E-2</v>
      </c>
      <c r="G24" s="95">
        <f t="shared" si="1"/>
        <v>4.3093352105987824E-2</v>
      </c>
    </row>
    <row r="25" spans="1:7" s="8" customFormat="1">
      <c r="A25" s="43"/>
      <c r="B25" s="12" t="str">
        <f>Vars!A20</f>
        <v>Heat Pump - HZ23CZ23</v>
      </c>
      <c r="C25" s="51">
        <f>[29]SF!$J$28</f>
        <v>0.12819607887593021</v>
      </c>
      <c r="D25" s="52">
        <f>[29]MF!$J$27</f>
        <v>0</v>
      </c>
      <c r="E25" s="49">
        <f t="shared" si="0"/>
        <v>0</v>
      </c>
      <c r="F25" s="52">
        <f>[29]MH!$J$28</f>
        <v>7.8940309013942875E-2</v>
      </c>
      <c r="G25" s="95">
        <f t="shared" si="1"/>
        <v>9.8840495470555276E-2</v>
      </c>
    </row>
    <row r="26" spans="1:7" s="8" customFormat="1">
      <c r="A26" s="43"/>
      <c r="B26" s="12" t="str">
        <f>Vars!A21</f>
        <v>Heat Pump - HZ1</v>
      </c>
      <c r="C26" s="49">
        <f>[29]SF!$L$27</f>
        <v>0.17451837346735202</v>
      </c>
      <c r="D26" s="49">
        <f>[29]MF!$L$26</f>
        <v>1.2426879154171162E-2</v>
      </c>
      <c r="E26" s="49">
        <f t="shared" si="0"/>
        <v>1.2426879154171162E-2</v>
      </c>
      <c r="F26" s="49">
        <f>[29]MH!$L$27</f>
        <v>0.20155463070325005</v>
      </c>
      <c r="G26" s="95">
        <f t="shared" si="1"/>
        <v>0.14621471478842149</v>
      </c>
    </row>
    <row r="27" spans="1:7" s="8" customFormat="1">
      <c r="A27" s="43"/>
      <c r="B27" s="12" t="str">
        <f>Vars!A22</f>
        <v>Heat Pump - HZ23</v>
      </c>
      <c r="C27" s="49">
        <f>[29]SF!$L$28</f>
        <v>0.10942336273004506</v>
      </c>
      <c r="D27" s="49">
        <f>[29]MF!$L$27</f>
        <v>0</v>
      </c>
      <c r="E27" s="49">
        <f t="shared" si="0"/>
        <v>0</v>
      </c>
      <c r="F27" s="49">
        <f>[29]MH!$L$28</f>
        <v>5.6279359348618191E-2</v>
      </c>
      <c r="G27" s="95">
        <f t="shared" si="1"/>
        <v>8.3271081184528209E-2</v>
      </c>
    </row>
    <row r="28" spans="1:7" s="8" customFormat="1">
      <c r="A28" s="43"/>
      <c r="B28" s="12" t="str">
        <f>Vars!A23</f>
        <v>Heat Pump - Region</v>
      </c>
      <c r="C28" s="49">
        <f>[29]SF!$L$30</f>
        <v>0.15830495514052295</v>
      </c>
      <c r="D28" s="49">
        <f>[29]MF!$L$29</f>
        <v>1.0692519922126772E-2</v>
      </c>
      <c r="E28" s="49">
        <f t="shared" si="0"/>
        <v>1.0692519922126772E-2</v>
      </c>
      <c r="F28" s="49">
        <f>[29]MH!$L$30</f>
        <v>0.14791660671834839</v>
      </c>
      <c r="G28" s="95">
        <f t="shared" si="1"/>
        <v>0.1290748260783835</v>
      </c>
    </row>
    <row r="29" spans="1:7" s="8" customFormat="1">
      <c r="A29" s="43"/>
      <c r="B29" s="12" t="str">
        <f>Vars!A24</f>
        <v>Electric Zonal - HZ1CZ1</v>
      </c>
      <c r="C29" s="49">
        <f>[29]SF!$I$35</f>
        <v>0.1649901802637759</v>
      </c>
      <c r="D29" s="49">
        <f>[29]MF!$I$34</f>
        <v>0.85383980263040493</v>
      </c>
      <c r="E29" s="49">
        <f t="shared" si="0"/>
        <v>0.85383980263040493</v>
      </c>
      <c r="F29" s="49">
        <f>[29]MH!$I$35</f>
        <v>3.0024948086295324E-2</v>
      </c>
      <c r="G29" s="95">
        <f t="shared" si="1"/>
        <v>0.28329360471808401</v>
      </c>
    </row>
    <row r="30" spans="1:7" s="8" customFormat="1">
      <c r="A30" s="43"/>
      <c r="B30" s="12" t="str">
        <f>Vars!A25</f>
        <v>Electric Zonal - HZ1CZ23</v>
      </c>
      <c r="C30" s="49">
        <f>[29]SF!$J$35</f>
        <v>9.8631712913821959E-2</v>
      </c>
      <c r="D30" s="49">
        <f>[29]MF!$J$34</f>
        <v>0.73333333554240632</v>
      </c>
      <c r="E30" s="49">
        <f t="shared" si="0"/>
        <v>0.73333333554240632</v>
      </c>
      <c r="F30" s="49">
        <f>[29]MH!$J$35</f>
        <v>2.9788775817665265E-2</v>
      </c>
      <c r="G30" s="95">
        <f t="shared" si="1"/>
        <v>0.21311375744297156</v>
      </c>
    </row>
    <row r="31" spans="1:7" s="8" customFormat="1">
      <c r="A31" s="43"/>
      <c r="B31" s="12" t="str">
        <f>Vars!A26</f>
        <v>Electric Zonal - HZ23CZ1</v>
      </c>
      <c r="C31" s="49">
        <f>[29]SF!$I$36</f>
        <v>0.12476331328161443</v>
      </c>
      <c r="D31" s="49">
        <f>[29]MF!$I$35</f>
        <v>0.59999998409467525</v>
      </c>
      <c r="E31" s="49">
        <f t="shared" si="0"/>
        <v>0.59999998409467525</v>
      </c>
      <c r="F31" s="49">
        <f>[29]MH!$I$36</f>
        <v>3.3197825672557038E-2</v>
      </c>
      <c r="G31" s="95">
        <f t="shared" si="1"/>
        <v>0.20653337542041586</v>
      </c>
    </row>
    <row r="32" spans="1:7" s="8" customFormat="1">
      <c r="A32" s="43"/>
      <c r="B32" s="12" t="str">
        <f>Vars!A27</f>
        <v>Electric Zonal - HZ23CZ23</v>
      </c>
      <c r="C32" s="49">
        <f>[29]SF!$J$36</f>
        <v>0.1649470283041021</v>
      </c>
      <c r="D32" s="49">
        <f>[29]MF!$J$35</f>
        <v>0.77777778759587934</v>
      </c>
      <c r="E32" s="49">
        <f t="shared" si="0"/>
        <v>0.77777778759587934</v>
      </c>
      <c r="F32" s="49">
        <f>[29]MH!$J$36</f>
        <v>3.9084849826646118E-2</v>
      </c>
      <c r="G32" s="95">
        <f t="shared" si="1"/>
        <v>0.26962345527607118</v>
      </c>
    </row>
    <row r="33" spans="1:17" s="8" customFormat="1">
      <c r="A33" s="43"/>
      <c r="B33" s="12" t="str">
        <f>Vars!A28</f>
        <v>Electric Zonal - HZ1</v>
      </c>
      <c r="C33" s="52">
        <f>[29]SF!$L$35</f>
        <v>0.1391314348060306</v>
      </c>
      <c r="D33" s="49">
        <f>[29]MF!$L$34</f>
        <v>0.82591620954879041</v>
      </c>
      <c r="E33" s="49">
        <f t="shared" si="0"/>
        <v>0.82591620954879041</v>
      </c>
      <c r="F33" s="49">
        <f>[29]MH!$L$35</f>
        <v>2.9912270132860779E-2</v>
      </c>
      <c r="G33" s="95">
        <f t="shared" si="1"/>
        <v>0.25958093605145816</v>
      </c>
    </row>
    <row r="34" spans="1:17" s="8" customFormat="1">
      <c r="A34" s="43"/>
      <c r="B34" s="12" t="str">
        <f>Vars!A29</f>
        <v>Electric Zonal - HZ23</v>
      </c>
      <c r="C34" s="49">
        <f>[29]SF!$L$36</f>
        <v>0.15414401084601026</v>
      </c>
      <c r="D34" s="49">
        <f>[29]MF!$L$35</f>
        <v>0.71428571563820797</v>
      </c>
      <c r="E34" s="49">
        <f t="shared" si="0"/>
        <v>0.71428571563820797</v>
      </c>
      <c r="F34" s="49">
        <f>[29]MH!$L$36</f>
        <v>3.6944930507961368E-2</v>
      </c>
      <c r="G34" s="95">
        <f t="shared" si="1"/>
        <v>0.2496077628930139</v>
      </c>
    </row>
    <row r="35" spans="1:17">
      <c r="A35" s="43"/>
      <c r="B35" s="12" t="str">
        <f>Vars!A30</f>
        <v>Electric Zonal - Region</v>
      </c>
      <c r="C35" s="49">
        <f>[29]SF!$L$38</f>
        <v>0.14287066416850494</v>
      </c>
      <c r="D35" s="53">
        <f>[29]MF!$L$37</f>
        <v>0.81033648311148054</v>
      </c>
      <c r="E35" s="49">
        <f t="shared" si="0"/>
        <v>0.81033648311148054</v>
      </c>
      <c r="F35" s="49">
        <f>[29]MH!$L$38</f>
        <v>3.2508844225339915E-2</v>
      </c>
      <c r="G35" s="95">
        <f t="shared" si="1"/>
        <v>0.2595160438039647</v>
      </c>
    </row>
    <row r="36" spans="1:17">
      <c r="A36" s="43"/>
      <c r="B36" s="12" t="str">
        <f>Vars!A31</f>
        <v>DHP - HZ1CZ1</v>
      </c>
      <c r="C36" s="49">
        <f>[29]SF!$I$50</f>
        <v>3.2261403645206709E-2</v>
      </c>
      <c r="D36" s="53">
        <f>[29]MF!$I$49</f>
        <v>2.3692380398754449E-2</v>
      </c>
      <c r="E36" s="49">
        <f t="shared" si="0"/>
        <v>2.3692380398754449E-2</v>
      </c>
      <c r="F36" s="49">
        <f>[29]MH!$I$50</f>
        <v>1.2931050080460879E-2</v>
      </c>
      <c r="G36" s="95">
        <f t="shared" si="1"/>
        <v>2.871656408780263E-2</v>
      </c>
    </row>
    <row r="37" spans="1:17">
      <c r="B37" s="12" t="str">
        <f>Vars!A32</f>
        <v>DHP - HZ1CZ23</v>
      </c>
      <c r="C37" s="52">
        <f>[29]SF!$J$50</f>
        <v>1.0644758975689617E-2</v>
      </c>
      <c r="D37" s="53">
        <f>[29]MF!$J$49</f>
        <v>0</v>
      </c>
      <c r="E37" s="49">
        <f t="shared" si="0"/>
        <v>0</v>
      </c>
      <c r="F37" s="53">
        <f>[29]MH!$J$50</f>
        <v>0</v>
      </c>
      <c r="G37" s="95">
        <f t="shared" si="1"/>
        <v>7.5603915546295615E-3</v>
      </c>
    </row>
    <row r="38" spans="1:17">
      <c r="B38" s="12" t="str">
        <f>Vars!A33</f>
        <v>DHP - HZ23CZ1</v>
      </c>
      <c r="C38" s="49">
        <f>[29]SF!$I$51</f>
        <v>0</v>
      </c>
      <c r="D38" s="53">
        <f>[29]MF!$I$50</f>
        <v>0</v>
      </c>
      <c r="E38" s="49">
        <f t="shared" si="0"/>
        <v>0</v>
      </c>
      <c r="F38" s="53">
        <f>[29]MH!$I$51</f>
        <v>2.3801185576297144E-2</v>
      </c>
      <c r="G38" s="95">
        <f t="shared" si="1"/>
        <v>2.3486964523094052E-3</v>
      </c>
    </row>
    <row r="39" spans="1:17">
      <c r="B39" s="12" t="str">
        <f>Vars!A34</f>
        <v>DHP - HZ23CZ23</v>
      </c>
      <c r="C39" s="49">
        <f>[29]SF!$J$51</f>
        <v>2.8613550828090885E-3</v>
      </c>
      <c r="D39" s="53">
        <f>[29]MF!$J$50</f>
        <v>0</v>
      </c>
      <c r="E39" s="49">
        <f t="shared" si="0"/>
        <v>0</v>
      </c>
      <c r="F39" s="53">
        <f>[29]MH!$J$51</f>
        <v>9.4794076514498494E-3</v>
      </c>
      <c r="G39" s="95">
        <f t="shared" si="1"/>
        <v>2.9676905471892594E-3</v>
      </c>
    </row>
    <row r="40" spans="1:17">
      <c r="B40" s="12" t="str">
        <f>Vars!A35</f>
        <v>DHP - HZ1</v>
      </c>
      <c r="C40" s="53">
        <f>[29]SF!$L$50</f>
        <v>2.3837771598196254E-2</v>
      </c>
      <c r="D40" s="53">
        <f>[29]MF!$L$49</f>
        <v>1.8202414545664333E-2</v>
      </c>
      <c r="E40" s="49">
        <f t="shared" si="0"/>
        <v>1.8202414545664333E-2</v>
      </c>
      <c r="F40" s="53">
        <f>[29]MH!$L$50</f>
        <v>6.761637103748332E-3</v>
      </c>
      <c r="G40" s="95">
        <f t="shared" si="1"/>
        <v>2.1075927476564837E-2</v>
      </c>
    </row>
    <row r="41" spans="1:17">
      <c r="B41" s="12" t="str">
        <f>Vars!A36</f>
        <v>DHP - HZ23</v>
      </c>
      <c r="C41" s="53">
        <f>[29]SF!$L$51</f>
        <v>2.0921064233437379E-3</v>
      </c>
      <c r="D41" s="53">
        <f>[29]MF!$L$50</f>
        <v>0</v>
      </c>
      <c r="E41" s="49">
        <f t="shared" si="0"/>
        <v>0</v>
      </c>
      <c r="F41" s="53">
        <f>[29]MH!$L$51</f>
        <v>1.4685339962430082E-2</v>
      </c>
      <c r="G41" s="95">
        <f t="shared" si="1"/>
        <v>2.9350555996014841E-3</v>
      </c>
    </row>
    <row r="42" spans="1:17">
      <c r="B42" s="12" t="str">
        <f>Vars!A37</f>
        <v>DHP - Region</v>
      </c>
      <c r="C42" s="53">
        <f>[29]SF!$L$53</f>
        <v>1.8421510623943455E-2</v>
      </c>
      <c r="D42" s="53">
        <f>[29]MF!$L$52</f>
        <v>1.5661991860200661E-2</v>
      </c>
      <c r="E42" s="49">
        <f t="shared" si="0"/>
        <v>1.5661991860200661E-2</v>
      </c>
      <c r="F42" s="53">
        <f>[29]MH!$L$53</f>
        <v>9.6871987634867523E-3</v>
      </c>
      <c r="G42" s="95">
        <f t="shared" si="1"/>
        <v>1.7032336044082236E-2</v>
      </c>
      <c r="M42" t="s">
        <v>228</v>
      </c>
      <c r="N42" t="s">
        <v>453</v>
      </c>
      <c r="O42" t="s">
        <v>452</v>
      </c>
      <c r="P42" t="s">
        <v>454</v>
      </c>
    </row>
    <row r="43" spans="1:17">
      <c r="B43" s="12" t="str">
        <f>Vars!A38</f>
        <v>Central AC - CZ1</v>
      </c>
      <c r="C43" s="53">
        <f>[29]SF!$I$43</f>
        <v>8.7547645191238574E-2</v>
      </c>
      <c r="D43" s="53">
        <f>[29]MF!$I$42</f>
        <v>1.2325175673207357E-2</v>
      </c>
      <c r="E43" s="49">
        <f t="shared" si="0"/>
        <v>1.2325175673207357E-2</v>
      </c>
      <c r="F43" s="53">
        <f>[29]MH!$I$43</f>
        <v>0.14076353391268348</v>
      </c>
      <c r="G43" s="95">
        <f t="shared" si="1"/>
        <v>7.8425864551730007E-2</v>
      </c>
      <c r="L43" t="s">
        <v>451</v>
      </c>
      <c r="M43" s="94">
        <v>0.17799999999999999</v>
      </c>
      <c r="N43" s="94">
        <v>1.0999999999999999E-2</v>
      </c>
      <c r="O43" s="94">
        <v>1.2E-2</v>
      </c>
      <c r="P43" s="94">
        <v>0.159</v>
      </c>
      <c r="Q43" s="30">
        <f>SUMPRODUCT(M43:P43,P11:S11)</f>
        <v>0.14425096537425688</v>
      </c>
    </row>
    <row r="44" spans="1:17">
      <c r="B44" s="12" t="str">
        <f>Vars!A39</f>
        <v>Central AC - CZ23</v>
      </c>
      <c r="C44" s="53">
        <f>[29]SF!$J$43</f>
        <v>0.27842841395843276</v>
      </c>
      <c r="D44" s="53">
        <f>[29]MF!$J$42</f>
        <v>6.8965519290222155E-2</v>
      </c>
      <c r="E44" s="49">
        <f t="shared" si="0"/>
        <v>6.8965519290222155E-2</v>
      </c>
      <c r="F44" s="53">
        <f>[29]MH!$J$43</f>
        <v>0.17641272113455647</v>
      </c>
      <c r="G44" s="95">
        <f t="shared" si="1"/>
        <v>0.22833845509322573</v>
      </c>
    </row>
    <row r="45" spans="1:17">
      <c r="B45" s="12" t="str">
        <f>Vars!A40</f>
        <v>Room A/C - CZ1</v>
      </c>
      <c r="C45" s="53">
        <f>[29]SF!$I$46</f>
        <v>3.8197963209166262E-2</v>
      </c>
      <c r="D45" s="53">
        <f>[29]MF!$I$45</f>
        <v>5.3226756579866766E-2</v>
      </c>
      <c r="E45" s="49">
        <f t="shared" si="0"/>
        <v>5.3226756579866766E-2</v>
      </c>
      <c r="F45" s="53">
        <f>[29]MH!$I$46</f>
        <v>0.21069287259219041</v>
      </c>
      <c r="G45" s="95">
        <f t="shared" si="1"/>
        <v>5.809135086365589E-2</v>
      </c>
    </row>
    <row r="46" spans="1:17">
      <c r="B46" s="12" t="str">
        <f>Vars!A41</f>
        <v>Room A/C - CZ23</v>
      </c>
      <c r="C46" s="53">
        <f>[29]SF!$J$46</f>
        <v>9.88884449045868E-2</v>
      </c>
      <c r="D46" s="53">
        <f>[29]MF!$J$45</f>
        <v>0.10344827665008544</v>
      </c>
      <c r="E46" s="49">
        <f t="shared" si="0"/>
        <v>0.10344827665008544</v>
      </c>
      <c r="F46" s="53">
        <f>[29]MH!$J$46</f>
        <v>0.16156829862253547</v>
      </c>
      <c r="G46" s="95">
        <f t="shared" si="1"/>
        <v>0.10594494961301937</v>
      </c>
    </row>
    <row r="47" spans="1:17">
      <c r="B47" s="12" t="str">
        <f>Vars!A42</f>
        <v>Electric WH</v>
      </c>
      <c r="C47" s="53">
        <v>0.55200000000000005</v>
      </c>
      <c r="D47" s="53">
        <v>0.94699999999999995</v>
      </c>
      <c r="E47" s="49">
        <v>0.94699999999999995</v>
      </c>
      <c r="F47" s="53">
        <v>0.88900000000000001</v>
      </c>
      <c r="G47" s="95">
        <f t="shared" si="1"/>
        <v>0.66072962106758848</v>
      </c>
    </row>
    <row r="48" spans="1:17">
      <c r="B48" s="12" t="str">
        <f>Vars!A43</f>
        <v>DWH &lt;55 inside</v>
      </c>
      <c r="C48" s="53">
        <f>[29]SF!$I$126</f>
        <v>0.34060273187152323</v>
      </c>
      <c r="D48" s="53">
        <f>[29]MF!$H$115</f>
        <v>0.69037391065424225</v>
      </c>
      <c r="E48" s="49">
        <f t="shared" si="0"/>
        <v>0.69037391065424225</v>
      </c>
      <c r="F48" s="53">
        <f>[29]MH!$H$113</f>
        <v>0.64044035004660882</v>
      </c>
      <c r="G48" s="95">
        <f t="shared" si="1"/>
        <v>0.43702309058546412</v>
      </c>
    </row>
    <row r="49" spans="1:7">
      <c r="B49" s="12" t="str">
        <f>Vars!A44</f>
        <v>DHW &lt;55 outside buffer</v>
      </c>
      <c r="C49" s="53">
        <f>[29]SF!$I$127</f>
        <v>0.13278888545034082</v>
      </c>
      <c r="D49" s="53">
        <v>0</v>
      </c>
      <c r="E49" s="49">
        <f t="shared" si="0"/>
        <v>0</v>
      </c>
      <c r="F49" s="53">
        <f>[29]MH!$H$114</f>
        <v>3.5084497934898207E-2</v>
      </c>
      <c r="G49" s="95">
        <f t="shared" si="1"/>
        <v>9.7774832339483864E-2</v>
      </c>
    </row>
    <row r="50" spans="1:7">
      <c r="B50" s="12" t="str">
        <f>Vars!A45</f>
        <v>DHW &lt; 55 outside unbuffer</v>
      </c>
      <c r="C50" s="53">
        <f>[29]SF!$I$129</f>
        <v>0</v>
      </c>
      <c r="D50" s="53">
        <v>0</v>
      </c>
      <c r="E50" s="49">
        <f t="shared" si="0"/>
        <v>0</v>
      </c>
      <c r="F50" s="53">
        <f>[29]MH!$H$115</f>
        <v>0.19050866802895391</v>
      </c>
      <c r="G50" s="95">
        <f t="shared" si="1"/>
        <v>1.8799359019299976E-2</v>
      </c>
    </row>
    <row r="51" spans="1:7">
      <c r="B51" s="12" t="str">
        <f>Vars!A46</f>
        <v>DHW &gt;55 inside</v>
      </c>
      <c r="C51" s="53">
        <f>[29]SF!$J$126</f>
        <v>4.0633005829326954E-2</v>
      </c>
      <c r="D51" s="53">
        <f>[29]MF!$I$115</f>
        <v>5.571349522752414E-2</v>
      </c>
      <c r="E51" s="49">
        <f t="shared" si="0"/>
        <v>5.571349522752414E-2</v>
      </c>
      <c r="F51" s="53">
        <f>[29]MH!$I$113</f>
        <v>0</v>
      </c>
      <c r="G51" s="95">
        <f t="shared" si="1"/>
        <v>3.9504849272762439E-2</v>
      </c>
    </row>
    <row r="52" spans="1:7">
      <c r="B52" s="12" t="str">
        <f>Vars!A47</f>
        <v>DHW &gt;55 outside buffer</v>
      </c>
      <c r="C52" s="53">
        <f>[29]SF!$J$127</f>
        <v>1.9105116539180608E-2</v>
      </c>
      <c r="D52" s="53">
        <v>0</v>
      </c>
      <c r="E52" s="49">
        <f t="shared" si="0"/>
        <v>0</v>
      </c>
      <c r="F52" s="53">
        <f>[29]MH!$I$114</f>
        <v>0</v>
      </c>
      <c r="G52" s="95">
        <f t="shared" si="1"/>
        <v>1.3569321960498124E-2</v>
      </c>
    </row>
    <row r="53" spans="1:7">
      <c r="B53" s="12" t="str">
        <f>Vars!A48</f>
        <v>DHW &gt;55 outside unbuffer</v>
      </c>
      <c r="C53" s="53">
        <f>[29]SF!$J$128</f>
        <v>7.8395734639023578E-4</v>
      </c>
      <c r="D53" s="53">
        <v>0</v>
      </c>
      <c r="E53" s="49">
        <f t="shared" si="0"/>
        <v>0</v>
      </c>
      <c r="F53" s="53">
        <f>[29]MH!$I$115</f>
        <v>0</v>
      </c>
      <c r="G53" s="95">
        <f t="shared" si="1"/>
        <v>5.5680213280306424E-4</v>
      </c>
    </row>
    <row r="54" spans="1:7">
      <c r="B54" s="12" t="str">
        <f>Vars!A49</f>
        <v>Refrigerator</v>
      </c>
      <c r="C54" s="53">
        <f>[29]SF!$J$100</f>
        <v>1.2831400506742725</v>
      </c>
      <c r="D54" s="53">
        <f>[29]MF!$J$92</f>
        <v>1.0236201688615751</v>
      </c>
      <c r="E54" s="49">
        <f t="shared" si="0"/>
        <v>1.0236201688615751</v>
      </c>
      <c r="F54" s="53">
        <f>[29]MH!$J$89</f>
        <v>1.1963734390534748</v>
      </c>
      <c r="G54" s="95">
        <f t="shared" si="1"/>
        <v>1.2249902420423577</v>
      </c>
    </row>
    <row r="55" spans="1:7">
      <c r="B55" s="12" t="str">
        <f>Vars!A50</f>
        <v>Freezer</v>
      </c>
      <c r="C55" s="53">
        <f>[29]SF!$J$89</f>
        <v>0.52766223341265472</v>
      </c>
      <c r="D55" s="53">
        <f>[29]MF!$J$79</f>
        <v>4.7085148422193572E-2</v>
      </c>
      <c r="E55" s="49">
        <f t="shared" si="0"/>
        <v>4.7085148422193572E-2</v>
      </c>
      <c r="F55" s="53">
        <f>[29]MH!$J$78</f>
        <v>0.44147575101117187</v>
      </c>
      <c r="G55" s="95">
        <f t="shared" si="1"/>
        <v>0.42733122248978422</v>
      </c>
    </row>
    <row r="56" spans="1:7">
      <c r="B56" s="12" t="str">
        <f>Vars!A51</f>
        <v>Clothes Washer</v>
      </c>
      <c r="C56" s="53">
        <f>[29]SF!$I$64</f>
        <v>0.98546930096285335</v>
      </c>
      <c r="D56" s="53">
        <f>[29]MF!$I$62</f>
        <v>0.46477658924872384</v>
      </c>
      <c r="E56" s="49">
        <f t="shared" si="0"/>
        <v>0.46477658924872384</v>
      </c>
      <c r="F56" s="53">
        <f>[29]MH!$I$61</f>
        <v>0.95368270905809616</v>
      </c>
      <c r="G56" s="95">
        <f t="shared" si="1"/>
        <v>0.88284137760041514</v>
      </c>
    </row>
    <row r="57" spans="1:7">
      <c r="B57" s="12" t="str">
        <f>Vars!A52</f>
        <v>Clothes Dryer</v>
      </c>
      <c r="C57" s="53">
        <f>[29]SF!$I$75</f>
        <v>0.93640551858187504</v>
      </c>
      <c r="D57" s="53">
        <f>[29]MF!$I$64</f>
        <v>0.46266057162974022</v>
      </c>
      <c r="E57" s="49">
        <f t="shared" si="0"/>
        <v>0.46266057162974022</v>
      </c>
      <c r="F57" s="53">
        <f>[29]MH!$I$64</f>
        <v>0.88480083438048951</v>
      </c>
      <c r="G57" s="95">
        <f t="shared" si="1"/>
        <v>0.84079248196064726</v>
      </c>
    </row>
    <row r="58" spans="1:7">
      <c r="B58" s="12" t="str">
        <f>Vars!A53</f>
        <v>Dishwasher</v>
      </c>
      <c r="C58" s="53">
        <f>[29]SF!$I$78</f>
        <v>0.87764489634961651</v>
      </c>
      <c r="D58" s="53">
        <f>[29]MF!$I$67</f>
        <v>0.78113749066870952</v>
      </c>
      <c r="E58" s="49">
        <f t="shared" si="0"/>
        <v>0.78113749066870952</v>
      </c>
      <c r="F58" s="53">
        <f>[29]MH!$I$67</f>
        <v>0.76196535734220561</v>
      </c>
      <c r="G58" s="95">
        <f t="shared" si="1"/>
        <v>0.84778953331281404</v>
      </c>
    </row>
    <row r="59" spans="1:7">
      <c r="B59" s="12" t="str">
        <f>Vars!A54</f>
        <v>Microwave</v>
      </c>
      <c r="C59" s="53">
        <f>[29]SF!$I$137</f>
        <v>0.95</v>
      </c>
      <c r="D59" s="53">
        <f>C59</f>
        <v>0.95</v>
      </c>
      <c r="E59" s="49">
        <f t="shared" si="0"/>
        <v>0.95</v>
      </c>
      <c r="F59" s="53">
        <f>E59</f>
        <v>0.95</v>
      </c>
      <c r="G59" s="95">
        <f t="shared" si="1"/>
        <v>0.94999999999999984</v>
      </c>
    </row>
    <row r="60" spans="1:7">
      <c r="A60" s="10"/>
      <c r="B60" s="12" t="str">
        <f>Vars!A55</f>
        <v>Electric Oven</v>
      </c>
      <c r="C60" s="53">
        <f>[29]SF!$I$82</f>
        <v>0.86895503473004965</v>
      </c>
      <c r="D60" s="53">
        <f>[29]MF!$I$71</f>
        <v>0.96585088459989477</v>
      </c>
      <c r="E60" s="49">
        <f t="shared" si="0"/>
        <v>0.96585088459989477</v>
      </c>
      <c r="F60" s="53">
        <f>[29]MH!$I$71</f>
        <v>0.89920410170315002</v>
      </c>
      <c r="G60" s="95">
        <f t="shared" si="1"/>
        <v>0.8904543569587956</v>
      </c>
    </row>
    <row r="61" spans="1:7">
      <c r="A61" s="10"/>
      <c r="B61" s="12" t="str">
        <f>Vars!A56</f>
        <v>TV</v>
      </c>
      <c r="C61" s="53">
        <f>[29]SF!$I$108</f>
        <v>2.2906090340948593</v>
      </c>
      <c r="D61" s="53">
        <f>[29]MF!$I$99</f>
        <v>1.5145007606068333</v>
      </c>
      <c r="E61" s="49">
        <f t="shared" si="0"/>
        <v>1.5145007606068333</v>
      </c>
      <c r="F61" s="53">
        <f>[29]MH!$I$97</f>
        <v>2.0454162110233622</v>
      </c>
      <c r="G61" s="95">
        <f t="shared" si="1"/>
        <v>2.1181187605177558</v>
      </c>
    </row>
    <row r="62" spans="1:7">
      <c r="A62" s="10"/>
      <c r="B62" s="12" t="str">
        <f>Vars!A57</f>
        <v>Set top box</v>
      </c>
      <c r="C62" s="53">
        <f>[29]SF!$I$111</f>
        <v>1.0654190989347723</v>
      </c>
      <c r="D62" s="53">
        <f>[29]MF!$I$102</f>
        <v>1.038434724492763</v>
      </c>
      <c r="E62" s="49">
        <f t="shared" si="0"/>
        <v>1.038434724492763</v>
      </c>
      <c r="F62" s="53">
        <f>[29]MH!$I$100</f>
        <v>1.3170555258448295</v>
      </c>
      <c r="G62" s="95">
        <f t="shared" si="1"/>
        <v>1.0850945010003843</v>
      </c>
    </row>
    <row r="63" spans="1:7">
      <c r="A63" s="10"/>
      <c r="B63" s="12" t="str">
        <f>Vars!A58</f>
        <v>Computer</v>
      </c>
      <c r="C63" s="53">
        <f>[29]SF!$I$114</f>
        <v>1.6655502145549572</v>
      </c>
      <c r="D63" s="53">
        <f>[29]MF!$I$105</f>
        <v>0.71239882016544165</v>
      </c>
      <c r="E63" s="49">
        <f t="shared" si="0"/>
        <v>0.71239882016544165</v>
      </c>
      <c r="F63" s="53">
        <f>[29]MH!$I$103</f>
        <v>1.1331497454290105</v>
      </c>
      <c r="G63" s="95">
        <f t="shared" si="1"/>
        <v>1.4308898755894464</v>
      </c>
    </row>
    <row r="64" spans="1:7">
      <c r="A64" s="10"/>
      <c r="B64" s="12" t="str">
        <f>Vars!A59</f>
        <v>Monitor</v>
      </c>
      <c r="C64" s="53">
        <f>[29]SF!$I$120</f>
        <v>1.0109839382712824</v>
      </c>
      <c r="D64" s="53">
        <f>[29]MF!$I$111</f>
        <v>0.45062457275939666</v>
      </c>
      <c r="E64" s="49">
        <f t="shared" si="0"/>
        <v>0.45062457275939666</v>
      </c>
      <c r="F64" s="53">
        <f>[29]MH!$I$109</f>
        <v>0.72198913200149617</v>
      </c>
      <c r="G64" s="95">
        <f t="shared" si="1"/>
        <v>0.87539546151303316</v>
      </c>
    </row>
    <row r="65" spans="1:7">
      <c r="A65" s="10"/>
      <c r="B65" s="12" t="str">
        <f>Vars!A60</f>
        <v>EISA nx</v>
      </c>
      <c r="C65" s="53">
        <f>[29]SF!$I$132+[29]SF!$I$133</f>
        <v>0.73183262488926393</v>
      </c>
      <c r="D65" s="53">
        <f>[29]MF!$I$119+[29]MF!$I$120</f>
        <v>0.41826483853544827</v>
      </c>
      <c r="E65" s="49">
        <f t="shared" si="0"/>
        <v>0.41826483853544827</v>
      </c>
      <c r="F65" s="53">
        <f>[29]MH!$I$119+[29]MH!$I$120</f>
        <v>0.81140182193357802</v>
      </c>
      <c r="G65" s="95">
        <f t="shared" si="1"/>
        <v>0.6797696124002196</v>
      </c>
    </row>
    <row r="66" spans="1:7">
      <c r="A66" s="10"/>
      <c r="B66" s="12" t="str">
        <f>Vars!A61</f>
        <v>EISA x</v>
      </c>
      <c r="C66" s="53">
        <f>[29]SF!$I$134</f>
        <v>0.26816737511073607</v>
      </c>
      <c r="D66" s="53">
        <f>[29]MF!$I$121</f>
        <v>0.58148897029728519</v>
      </c>
      <c r="E66" s="49">
        <f t="shared" si="0"/>
        <v>0.58148897029728519</v>
      </c>
      <c r="F66" s="53">
        <f>[29]MH!$I$121</f>
        <v>0.18859817806642193</v>
      </c>
      <c r="G66" s="95">
        <f t="shared" si="1"/>
        <v>0.32018334668460074</v>
      </c>
    </row>
    <row r="67" spans="1:7">
      <c r="A67" s="10"/>
      <c r="B67" s="12" t="str">
        <f>Vars!A62</f>
        <v>WallSqft</v>
      </c>
      <c r="C67" s="54">
        <f>[29]SF!$B$146</f>
        <v>1802.7725325176218</v>
      </c>
      <c r="D67" s="54">
        <v>487</v>
      </c>
      <c r="E67" s="49"/>
      <c r="F67" s="54">
        <f>[29]MH!$B$127</f>
        <v>1216.4209797598855</v>
      </c>
      <c r="G67" s="95"/>
    </row>
    <row r="68" spans="1:7">
      <c r="A68" s="10"/>
      <c r="B68" s="12" t="str">
        <f>Vars!A63</f>
        <v>AtticSqft</v>
      </c>
      <c r="C68" s="54">
        <f>[29]SF!$B$147</f>
        <v>1431.3235818765609</v>
      </c>
      <c r="D68" s="54">
        <v>407</v>
      </c>
      <c r="E68" s="49"/>
      <c r="F68" s="54">
        <f>[29]MH!$B$128</f>
        <v>1280</v>
      </c>
      <c r="G68" s="95"/>
    </row>
    <row r="69" spans="1:7">
      <c r="A69" s="10"/>
      <c r="B69" s="12" t="str">
        <f>Vars!A64</f>
        <v>FloorSqft</v>
      </c>
      <c r="C69" s="54">
        <f>[29]SF!$B$148</f>
        <v>1431.3235818765609</v>
      </c>
      <c r="D69" s="54">
        <v>390</v>
      </c>
      <c r="E69" s="49"/>
      <c r="F69" s="54">
        <f>[29]MH!$B$129</f>
        <v>1280</v>
      </c>
      <c r="G69" s="95"/>
    </row>
    <row r="70" spans="1:7">
      <c r="A70" s="10"/>
      <c r="B70" s="12" t="str">
        <f>Vars!A65</f>
        <v>WindowSqft</v>
      </c>
      <c r="C70" s="54">
        <f>[29]SF!$B$149</f>
        <v>178.91544773457011</v>
      </c>
      <c r="D70" s="54">
        <v>174</v>
      </c>
      <c r="E70" s="49"/>
      <c r="F70" s="54">
        <f>[29]MH!$B$130</f>
        <v>160</v>
      </c>
      <c r="G70" s="95"/>
    </row>
    <row r="71" spans="1:7">
      <c r="B71" s="12" t="str">
        <f>Vars!A66</f>
        <v>HomeSqft</v>
      </c>
      <c r="C71" s="54">
        <f>[29]SF!$B$138</f>
        <v>2006</v>
      </c>
      <c r="D71" s="54">
        <f>[29]MF!$B$125</f>
        <v>1150</v>
      </c>
      <c r="E71" s="54">
        <f>D71</f>
        <v>1150</v>
      </c>
      <c r="F71" s="54">
        <f>[29]MH!$B$125</f>
        <v>1280</v>
      </c>
      <c r="G71" s="95"/>
    </row>
    <row r="72" spans="1:7">
      <c r="B72" s="12" t="str">
        <f>Vars!A67</f>
        <v>Lighting</v>
      </c>
      <c r="C72" s="54">
        <v>63</v>
      </c>
      <c r="D72" s="54">
        <v>23</v>
      </c>
      <c r="E72" s="54">
        <v>23</v>
      </c>
      <c r="F72" s="54">
        <v>34.5</v>
      </c>
    </row>
    <row r="73" spans="1:7">
      <c r="B73" s="12"/>
      <c r="C73" s="53"/>
      <c r="D73" s="53"/>
      <c r="E73" s="49"/>
      <c r="F73" s="53"/>
    </row>
    <row r="74" spans="1:7">
      <c r="B74" s="12"/>
      <c r="C74" s="53"/>
      <c r="D74" s="53"/>
      <c r="E74" s="49"/>
      <c r="F74" s="53"/>
    </row>
    <row r="75" spans="1:7">
      <c r="B75" s="12"/>
      <c r="C75" s="53"/>
      <c r="D75" s="53"/>
      <c r="E75" s="49"/>
      <c r="F75" s="53"/>
    </row>
    <row r="76" spans="1:7">
      <c r="B76" s="12"/>
      <c r="C76" s="53"/>
      <c r="D76" s="53"/>
      <c r="E76" s="49"/>
      <c r="F76" s="53"/>
    </row>
    <row r="77" spans="1:7">
      <c r="B77" s="12"/>
      <c r="C77" s="53"/>
      <c r="D77" s="53"/>
      <c r="E77" s="49"/>
      <c r="F77" s="53"/>
    </row>
    <row r="78" spans="1:7">
      <c r="B78" s="12"/>
      <c r="C78" s="53"/>
      <c r="D78" s="53"/>
      <c r="E78" s="49"/>
      <c r="F78" s="53"/>
    </row>
    <row r="79" spans="1:7">
      <c r="B79" s="12"/>
      <c r="C79" s="54"/>
      <c r="D79" s="54"/>
      <c r="E79" s="54"/>
      <c r="F79" s="54"/>
    </row>
    <row r="80" spans="1:7">
      <c r="B80" s="12"/>
      <c r="C80" s="54"/>
      <c r="D80" s="54"/>
      <c r="E80" s="54"/>
      <c r="F80" s="54"/>
    </row>
    <row r="81" spans="1:7">
      <c r="B81" s="12"/>
      <c r="C81" s="54"/>
      <c r="D81" s="54"/>
      <c r="E81" s="54"/>
      <c r="F81" s="54"/>
    </row>
    <row r="82" spans="1:7">
      <c r="B82" s="12"/>
      <c r="C82" s="54"/>
      <c r="D82" s="54"/>
      <c r="E82" s="54"/>
      <c r="F82" s="54"/>
    </row>
    <row r="83" spans="1:7">
      <c r="A83" s="14"/>
      <c r="B83" s="12"/>
      <c r="C83" s="54"/>
      <c r="D83" s="54"/>
      <c r="E83" s="54"/>
      <c r="F83" s="54"/>
    </row>
    <row r="84" spans="1:7">
      <c r="A84" s="14"/>
      <c r="C84" s="26"/>
      <c r="F84" s="30"/>
    </row>
    <row r="85" spans="1:7">
      <c r="A85" s="14"/>
      <c r="C85" s="26"/>
      <c r="F85" s="30"/>
    </row>
    <row r="86" spans="1:7">
      <c r="A86" s="17" t="s">
        <v>52</v>
      </c>
      <c r="B86" s="29" t="s">
        <v>1</v>
      </c>
      <c r="C86" s="3" t="s">
        <v>79</v>
      </c>
    </row>
    <row r="87" spans="1:7">
      <c r="B87" s="3" t="s">
        <v>157</v>
      </c>
      <c r="C87" s="88" t="str">
        <f>C10</f>
        <v>Single Family</v>
      </c>
      <c r="D87" s="88" t="str">
        <f>D10</f>
        <v>Multifamily - Low Rise</v>
      </c>
      <c r="E87" s="88" t="str">
        <f>E10</f>
        <v>Multifamily - High Rise</v>
      </c>
      <c r="F87" s="88" t="str">
        <f>F10</f>
        <v>Manufactured</v>
      </c>
    </row>
    <row r="88" spans="1:7">
      <c r="B88" s="12" t="str">
        <f>Vars!A71</f>
        <v>Electric FAF - HZ1CZ1</v>
      </c>
      <c r="C88" s="49">
        <f>[30]PIVOT!$G$22</f>
        <v>1.8379055706406227E-2</v>
      </c>
      <c r="D88" s="49">
        <f>D11</f>
        <v>2.9671514740017984E-2</v>
      </c>
      <c r="E88" s="49">
        <f t="shared" ref="E88:F88" si="2">E11</f>
        <v>2.9671514740017984E-2</v>
      </c>
      <c r="F88" s="49">
        <f t="shared" si="2"/>
        <v>0.68310644913823848</v>
      </c>
    </row>
    <row r="89" spans="1:7">
      <c r="B89" s="12" t="str">
        <f>Vars!A72</f>
        <v>Electric FAF - HZ1CZ23</v>
      </c>
      <c r="C89" s="49">
        <f>[30]PIVOT!$H$22</f>
        <v>2.412923495568365E-2</v>
      </c>
      <c r="D89" s="49">
        <f t="shared" ref="D89:F89" si="3">D12</f>
        <v>0</v>
      </c>
      <c r="E89" s="49">
        <f t="shared" si="3"/>
        <v>0</v>
      </c>
      <c r="F89" s="49">
        <f t="shared" si="3"/>
        <v>0.53068387215316171</v>
      </c>
    </row>
    <row r="90" spans="1:7">
      <c r="B90" s="12" t="str">
        <f>Vars!A73</f>
        <v>Electric FAF - HZ23CZ1</v>
      </c>
      <c r="C90" s="49">
        <f>[30]PIVOT!$G$29</f>
        <v>1.4117647058823532E-2</v>
      </c>
      <c r="D90" s="49">
        <f t="shared" ref="D90:F90" si="4">D13</f>
        <v>0</v>
      </c>
      <c r="E90" s="49">
        <f t="shared" si="4"/>
        <v>0</v>
      </c>
      <c r="F90" s="49">
        <f t="shared" si="4"/>
        <v>0.29641575914254098</v>
      </c>
    </row>
    <row r="91" spans="1:7">
      <c r="B91" s="12" t="str">
        <f>Vars!A74</f>
        <v>Electric FAF - HZ23CZ23</v>
      </c>
      <c r="C91" s="49">
        <f>[30]PIVOT!$H$29</f>
        <v>0.14117647058823535</v>
      </c>
      <c r="D91" s="49">
        <f t="shared" ref="D91:F91" si="5">D14</f>
        <v>0</v>
      </c>
      <c r="E91" s="49">
        <f t="shared" si="5"/>
        <v>0</v>
      </c>
      <c r="F91" s="49">
        <f t="shared" si="5"/>
        <v>0.49242118699820225</v>
      </c>
    </row>
    <row r="92" spans="1:7">
      <c r="B92" s="12" t="str">
        <f>Vars!A75</f>
        <v>Electric FAF - HZ1</v>
      </c>
      <c r="C92" s="49">
        <f>[30]PIVOT!$I$22</f>
        <v>2.0048426314096562E-2</v>
      </c>
      <c r="D92" s="49">
        <f t="shared" ref="D92:F92" si="6">D15</f>
        <v>2.279607208754721E-2</v>
      </c>
      <c r="E92" s="49">
        <f t="shared" si="6"/>
        <v>2.279607208754721E-2</v>
      </c>
      <c r="F92" s="49">
        <f t="shared" si="6"/>
        <v>0.6103855317692306</v>
      </c>
    </row>
    <row r="93" spans="1:7">
      <c r="B93" s="12" t="str">
        <f>Vars!A76</f>
        <v>Electric FAF - HZ23</v>
      </c>
      <c r="C93" s="49">
        <f>[30]PIVOT!$I$23</f>
        <v>8.8458324594873558E-2</v>
      </c>
      <c r="D93" s="49">
        <f t="shared" ref="D93:F93" si="7">D16</f>
        <v>0</v>
      </c>
      <c r="E93" s="49">
        <f t="shared" si="7"/>
        <v>0</v>
      </c>
      <c r="F93" s="49">
        <f t="shared" si="7"/>
        <v>0.42117367880782697</v>
      </c>
      <c r="G93"/>
    </row>
    <row r="94" spans="1:7">
      <c r="B94" s="12" t="str">
        <f>Vars!A77</f>
        <v>Electric FAF - Region</v>
      </c>
      <c r="C94" s="49">
        <f>[30]PIVOT!$L$22</f>
        <v>2.1766292465668989E-2</v>
      </c>
      <c r="D94" s="49">
        <f t="shared" ref="D94:F94" si="8">D17</f>
        <v>1.96145349060163E-2</v>
      </c>
      <c r="E94" s="49">
        <f t="shared" si="8"/>
        <v>1.96145349060163E-2</v>
      </c>
      <c r="F94" s="49">
        <f t="shared" si="8"/>
        <v>0.54052539788177201</v>
      </c>
      <c r="G94"/>
    </row>
    <row r="95" spans="1:7">
      <c r="B95" s="12" t="str">
        <f>Vars!A78</f>
        <v>Electric FAF w/ CAC - HZ1CZ1</v>
      </c>
      <c r="C95" s="49">
        <f>[30]PIVOT!$F$65</f>
        <v>0.13310430527104683</v>
      </c>
      <c r="D95" s="49">
        <f t="shared" ref="D95:F95" si="9">D18</f>
        <v>0</v>
      </c>
      <c r="E95" s="49">
        <f t="shared" si="9"/>
        <v>0</v>
      </c>
      <c r="F95" s="49">
        <f t="shared" si="9"/>
        <v>0.15868069027846163</v>
      </c>
      <c r="G95"/>
    </row>
    <row r="96" spans="1:7">
      <c r="B96" s="12" t="str">
        <f>Vars!A79</f>
        <v>Electric FAF w/ CAC - HZ1CZ23</v>
      </c>
      <c r="C96" s="49">
        <f>[30]PIVOT!$G$65</f>
        <v>0.12117534162825606</v>
      </c>
      <c r="D96" s="49">
        <f t="shared" ref="D96:F96" si="10">D19</f>
        <v>0</v>
      </c>
      <c r="E96" s="49">
        <f t="shared" si="10"/>
        <v>0</v>
      </c>
      <c r="F96" s="49">
        <f t="shared" si="10"/>
        <v>4.8523578535561704E-2</v>
      </c>
      <c r="G96"/>
    </row>
    <row r="97" spans="2:7">
      <c r="B97" s="12" t="str">
        <f>Vars!A80</f>
        <v>Electric FAF w/ CAC - HZ23CZ1</v>
      </c>
      <c r="C97" s="49">
        <f>[30]PIVOT!$F$66</f>
        <v>1.9503476240466618E-2</v>
      </c>
      <c r="D97" s="49">
        <f t="shared" ref="D97:F97" si="11">D20</f>
        <v>0</v>
      </c>
      <c r="E97" s="49">
        <f t="shared" si="11"/>
        <v>0</v>
      </c>
      <c r="F97" s="49">
        <f t="shared" si="11"/>
        <v>8.6847892074621388E-2</v>
      </c>
      <c r="G97"/>
    </row>
    <row r="98" spans="2:7">
      <c r="B98" s="12" t="str">
        <f>Vars!A81</f>
        <v>Electric FAF w/ CAC - HZ23CZ23</v>
      </c>
      <c r="C98" s="49">
        <f>[30]PIVOT!$G$66</f>
        <v>3.0407952417464763E-2</v>
      </c>
      <c r="D98" s="49">
        <f t="shared" ref="D98:F98" si="12">D21</f>
        <v>0</v>
      </c>
      <c r="E98" s="49">
        <f t="shared" si="12"/>
        <v>0</v>
      </c>
      <c r="F98" s="49">
        <f t="shared" si="12"/>
        <v>6.4577174474630405E-2</v>
      </c>
      <c r="G98"/>
    </row>
    <row r="99" spans="2:7">
      <c r="B99" s="12" t="str">
        <f>Vars!A82</f>
        <v>Heat Pump - HZ1CZ1</v>
      </c>
      <c r="C99" s="49">
        <f>[30]PIVOT!$G$23</f>
        <v>7.4095770994953139E-2</v>
      </c>
      <c r="D99" s="49">
        <f t="shared" ref="D99:F99" si="13">D22</f>
        <v>1.0945836048995988E-3</v>
      </c>
      <c r="E99" s="49">
        <f t="shared" si="13"/>
        <v>1.0945836048995988E-3</v>
      </c>
      <c r="F99" s="49">
        <f t="shared" si="13"/>
        <v>0.11042200533666623</v>
      </c>
      <c r="G99"/>
    </row>
    <row r="100" spans="2:7">
      <c r="B100" s="12" t="str">
        <f>Vars!A83</f>
        <v>Heat Pump - HZ1CZ23</v>
      </c>
      <c r="C100" s="49">
        <f>[30]PIVOT!$H$23</f>
        <v>0.1235678638282882</v>
      </c>
      <c r="D100" s="49">
        <f t="shared" ref="D100:F100" si="14">D23</f>
        <v>4.9999998343195358E-2</v>
      </c>
      <c r="E100" s="49">
        <f t="shared" si="14"/>
        <v>4.9999998343195358E-2</v>
      </c>
      <c r="F100" s="49">
        <f t="shared" si="14"/>
        <v>0.3014354043468136</v>
      </c>
      <c r="G100"/>
    </row>
    <row r="101" spans="2:7">
      <c r="B101" s="12" t="str">
        <f>Vars!A84</f>
        <v>Heat Pump - HZ23CZ1</v>
      </c>
      <c r="C101" s="49">
        <f>[30]PIVOT!$G$30</f>
        <v>0.11294117647058827</v>
      </c>
      <c r="D101" s="49">
        <f t="shared" ref="D101:F101" si="15">D24</f>
        <v>0</v>
      </c>
      <c r="E101" s="49">
        <f t="shared" si="15"/>
        <v>0</v>
      </c>
      <c r="F101" s="49">
        <f t="shared" si="15"/>
        <v>1.6598912836278519E-2</v>
      </c>
      <c r="G101"/>
    </row>
    <row r="102" spans="2:7">
      <c r="B102" s="12" t="str">
        <f>Vars!A85</f>
        <v>Heat Pump - HZ23CZ23</v>
      </c>
      <c r="C102" s="49">
        <f>[30]PIVOT!$H$30</f>
        <v>0</v>
      </c>
      <c r="D102" s="49">
        <f t="shared" ref="D102:F102" si="16">D25</f>
        <v>0</v>
      </c>
      <c r="E102" s="49">
        <f t="shared" si="16"/>
        <v>0</v>
      </c>
      <c r="F102" s="49">
        <f t="shared" si="16"/>
        <v>7.8940309013942875E-2</v>
      </c>
      <c r="G102"/>
    </row>
    <row r="103" spans="2:7">
      <c r="B103" s="12" t="str">
        <f>Vars!A86</f>
        <v>Heat Pump - HZ1</v>
      </c>
      <c r="C103" s="49">
        <f>[30]PIVOT!$I$23</f>
        <v>8.8458324594873558E-2</v>
      </c>
      <c r="D103" s="49">
        <f t="shared" ref="D103:F103" si="17">D26</f>
        <v>1.2426879154171162E-2</v>
      </c>
      <c r="E103" s="49">
        <f t="shared" si="17"/>
        <v>1.2426879154171162E-2</v>
      </c>
      <c r="F103" s="49">
        <f t="shared" si="17"/>
        <v>0.20155463070325005</v>
      </c>
      <c r="G103"/>
    </row>
    <row r="104" spans="2:7">
      <c r="B104" s="12" t="str">
        <f>Vars!A87</f>
        <v>Heat Pump - HZ23</v>
      </c>
      <c r="C104" s="49">
        <f>[30]PIVOT!$I$30</f>
        <v>9.6333066453162572E-2</v>
      </c>
      <c r="D104" s="49">
        <f t="shared" ref="D104:F104" si="18">D27</f>
        <v>0</v>
      </c>
      <c r="E104" s="49">
        <f t="shared" si="18"/>
        <v>0</v>
      </c>
      <c r="F104" s="49">
        <f t="shared" si="18"/>
        <v>5.6279359348618191E-2</v>
      </c>
      <c r="G104"/>
    </row>
    <row r="105" spans="2:7">
      <c r="B105" s="12" t="str">
        <f>Vars!A88</f>
        <v>Heat Pump - Region</v>
      </c>
      <c r="C105" s="53">
        <f>[30]PIVOT!$L$23</f>
        <v>8.9373362312324317E-2</v>
      </c>
      <c r="D105" s="49">
        <f t="shared" ref="D105:F105" si="19">D28</f>
        <v>1.0692519922126772E-2</v>
      </c>
      <c r="E105" s="49">
        <f t="shared" si="19"/>
        <v>1.0692519922126772E-2</v>
      </c>
      <c r="F105" s="49">
        <f t="shared" si="19"/>
        <v>0.14791660671834839</v>
      </c>
      <c r="G105"/>
    </row>
    <row r="106" spans="2:7">
      <c r="B106" s="12" t="str">
        <f>Vars!A89</f>
        <v>Electric Zonal - HZ1CZ1</v>
      </c>
      <c r="C106" s="49">
        <f>[30]PIVOT!$G$24</f>
        <v>6.1965327738795109E-2</v>
      </c>
      <c r="D106" s="49">
        <f t="shared" ref="D106:F106" si="20">D29</f>
        <v>0.85383980263040493</v>
      </c>
      <c r="E106" s="49">
        <f t="shared" si="20"/>
        <v>0.85383980263040493</v>
      </c>
      <c r="F106" s="49">
        <f t="shared" si="20"/>
        <v>3.0024948086295324E-2</v>
      </c>
      <c r="G106"/>
    </row>
    <row r="107" spans="2:7">
      <c r="B107" s="12" t="str">
        <f>Vars!A90</f>
        <v>Electric Zonal - HZ1CZ23</v>
      </c>
      <c r="C107" s="49">
        <f>[30]PIVOT!$H$24</f>
        <v>6.7430556561826104E-3</v>
      </c>
      <c r="D107" s="49">
        <f t="shared" ref="D107:F107" si="21">D30</f>
        <v>0.73333333554240632</v>
      </c>
      <c r="E107" s="49">
        <f t="shared" si="21"/>
        <v>0.73333333554240632</v>
      </c>
      <c r="F107" s="49">
        <f t="shared" si="21"/>
        <v>2.9788775817665265E-2</v>
      </c>
      <c r="G107"/>
    </row>
    <row r="108" spans="2:7">
      <c r="B108" s="12" t="str">
        <f>Vars!A91</f>
        <v>Electric Zonal - HZ23CZ1</v>
      </c>
      <c r="C108" s="49">
        <f>[30]PIVOT!$G$31</f>
        <v>1.4117647058823532E-2</v>
      </c>
      <c r="D108" s="49">
        <f t="shared" ref="D108:F108" si="22">D31</f>
        <v>0.59999998409467525</v>
      </c>
      <c r="E108" s="49">
        <f t="shared" si="22"/>
        <v>0.59999998409467525</v>
      </c>
      <c r="F108" s="49">
        <f t="shared" si="22"/>
        <v>3.3197825672557038E-2</v>
      </c>
      <c r="G108"/>
    </row>
    <row r="109" spans="2:7">
      <c r="B109" s="12" t="str">
        <f>Vars!A92</f>
        <v>Electric Zonal - HZ23CZ23</v>
      </c>
      <c r="C109" s="49">
        <f>[30]PIVOT!$H$31</f>
        <v>0</v>
      </c>
      <c r="D109" s="49">
        <f t="shared" ref="D109:F109" si="23">D32</f>
        <v>0.77777778759587934</v>
      </c>
      <c r="E109" s="49">
        <f t="shared" si="23"/>
        <v>0.77777778759587934</v>
      </c>
      <c r="F109" s="49">
        <f t="shared" si="23"/>
        <v>3.9084849826646118E-2</v>
      </c>
      <c r="G109"/>
    </row>
    <row r="110" spans="2:7">
      <c r="B110" s="12" t="str">
        <f>Vars!A93</f>
        <v>Electric Zonal - HZ1</v>
      </c>
      <c r="C110" s="49">
        <f>[30]PIVOT!$I$22</f>
        <v>2.0048426314096562E-2</v>
      </c>
      <c r="D110" s="49">
        <f t="shared" ref="D110:F110" si="24">D33</f>
        <v>0.82591620954879041</v>
      </c>
      <c r="E110" s="49">
        <f t="shared" si="24"/>
        <v>0.82591620954879041</v>
      </c>
      <c r="F110" s="49">
        <f t="shared" si="24"/>
        <v>2.9912270132860779E-2</v>
      </c>
      <c r="G110"/>
    </row>
    <row r="111" spans="2:7">
      <c r="B111" s="12" t="str">
        <f>Vars!A94</f>
        <v>Electric Zonal - HZ23</v>
      </c>
      <c r="C111" s="49">
        <f>[30]PIVOT!$I$31</f>
        <v>1.204163330664532E-2</v>
      </c>
      <c r="D111" s="49">
        <f t="shared" ref="D111:F111" si="25">D34</f>
        <v>0.71428571563820797</v>
      </c>
      <c r="E111" s="49">
        <f t="shared" si="25"/>
        <v>0.71428571563820797</v>
      </c>
      <c r="F111" s="49">
        <f t="shared" si="25"/>
        <v>3.6944930507961368E-2</v>
      </c>
      <c r="G111"/>
    </row>
    <row r="112" spans="2:7">
      <c r="B112" s="12" t="str">
        <f>Vars!A95</f>
        <v>Electric Zonal - Region</v>
      </c>
      <c r="C112" s="49">
        <f>[30]PIVOT!$L$24</f>
        <v>4.1178226016708668E-2</v>
      </c>
      <c r="D112" s="49">
        <f t="shared" ref="D112:F112" si="26">D35</f>
        <v>0.81033648311148054</v>
      </c>
      <c r="E112" s="49">
        <f t="shared" si="26"/>
        <v>0.81033648311148054</v>
      </c>
      <c r="F112" s="49">
        <f t="shared" si="26"/>
        <v>3.2508844225339915E-2</v>
      </c>
      <c r="G112"/>
    </row>
    <row r="113" spans="2:7">
      <c r="B113" s="12" t="str">
        <f>Vars!A96</f>
        <v>DHP - HZ1CZ1</v>
      </c>
      <c r="C113" s="49">
        <v>0</v>
      </c>
      <c r="D113" s="49">
        <f t="shared" ref="D113:F113" si="27">D36</f>
        <v>2.3692380398754449E-2</v>
      </c>
      <c r="E113" s="49">
        <f t="shared" si="27"/>
        <v>2.3692380398754449E-2</v>
      </c>
      <c r="F113" s="49">
        <f t="shared" si="27"/>
        <v>1.2931050080460879E-2</v>
      </c>
      <c r="G113"/>
    </row>
    <row r="114" spans="2:7">
      <c r="B114" s="12" t="str">
        <f>Vars!A97</f>
        <v>DHP - HZ1CZ23</v>
      </c>
      <c r="C114" s="49">
        <v>0</v>
      </c>
      <c r="D114" s="49">
        <f t="shared" ref="D114:F114" si="28">D37</f>
        <v>0</v>
      </c>
      <c r="E114" s="49">
        <f t="shared" si="28"/>
        <v>0</v>
      </c>
      <c r="F114" s="49">
        <f t="shared" si="28"/>
        <v>0</v>
      </c>
      <c r="G114"/>
    </row>
    <row r="115" spans="2:7">
      <c r="B115" s="12" t="str">
        <f>Vars!A98</f>
        <v>DHP - HZ23CZ1</v>
      </c>
      <c r="C115" s="53">
        <v>0</v>
      </c>
      <c r="D115" s="49">
        <f t="shared" ref="D115:F115" si="29">D38</f>
        <v>0</v>
      </c>
      <c r="E115" s="49">
        <f t="shared" si="29"/>
        <v>0</v>
      </c>
      <c r="F115" s="49">
        <f t="shared" si="29"/>
        <v>2.3801185576297144E-2</v>
      </c>
      <c r="G115"/>
    </row>
    <row r="116" spans="2:7">
      <c r="B116" s="12" t="str">
        <f>Vars!A99</f>
        <v>DHP - HZ23CZ23</v>
      </c>
      <c r="C116" s="49">
        <v>0</v>
      </c>
      <c r="D116" s="49">
        <f t="shared" ref="D116:F116" si="30">D39</f>
        <v>0</v>
      </c>
      <c r="E116" s="49">
        <f t="shared" si="30"/>
        <v>0</v>
      </c>
      <c r="F116" s="49">
        <f t="shared" si="30"/>
        <v>9.4794076514498494E-3</v>
      </c>
      <c r="G116"/>
    </row>
    <row r="117" spans="2:7">
      <c r="B117" s="12" t="str">
        <f>Vars!A100</f>
        <v>DHP - HZ1</v>
      </c>
      <c r="C117" s="49">
        <v>0</v>
      </c>
      <c r="D117" s="49">
        <f t="shared" ref="D117:F117" si="31">D40</f>
        <v>1.8202414545664333E-2</v>
      </c>
      <c r="E117" s="49">
        <f t="shared" si="31"/>
        <v>1.8202414545664333E-2</v>
      </c>
      <c r="F117" s="49">
        <f t="shared" si="31"/>
        <v>6.761637103748332E-3</v>
      </c>
      <c r="G117"/>
    </row>
    <row r="118" spans="2:7">
      <c r="B118" s="12" t="str">
        <f>Vars!A101</f>
        <v>DHP - HZ23</v>
      </c>
      <c r="C118" s="49">
        <v>0</v>
      </c>
      <c r="D118" s="49">
        <f t="shared" ref="D118:F118" si="32">D41</f>
        <v>0</v>
      </c>
      <c r="E118" s="49">
        <f t="shared" si="32"/>
        <v>0</v>
      </c>
      <c r="F118" s="49">
        <f t="shared" si="32"/>
        <v>1.4685339962430082E-2</v>
      </c>
      <c r="G118"/>
    </row>
    <row r="119" spans="2:7">
      <c r="B119" s="12" t="str">
        <f>Vars!A102</f>
        <v>DHP - Region</v>
      </c>
      <c r="C119" s="49">
        <v>0</v>
      </c>
      <c r="D119" s="49">
        <f t="shared" ref="D119:F119" si="33">D42</f>
        <v>1.5661991860200661E-2</v>
      </c>
      <c r="E119" s="49">
        <f t="shared" si="33"/>
        <v>1.5661991860200661E-2</v>
      </c>
      <c r="F119" s="49">
        <f t="shared" si="33"/>
        <v>9.6871987634867523E-3</v>
      </c>
      <c r="G119"/>
    </row>
    <row r="120" spans="2:7">
      <c r="B120" s="12" t="str">
        <f>Vars!A103</f>
        <v>Central AC - CZ1</v>
      </c>
      <c r="C120" s="49">
        <f>[30]PIVOT!$H$46</f>
        <v>0.99177648564154341</v>
      </c>
      <c r="D120" s="49">
        <f t="shared" ref="D120:F120" si="34">D43</f>
        <v>1.2325175673207357E-2</v>
      </c>
      <c r="E120" s="49">
        <f t="shared" si="34"/>
        <v>1.2325175673207357E-2</v>
      </c>
      <c r="F120" s="49">
        <f t="shared" si="34"/>
        <v>0.14076353391268348</v>
      </c>
      <c r="G120"/>
    </row>
    <row r="121" spans="2:7">
      <c r="B121" s="12" t="str">
        <f>Vars!A104</f>
        <v>Central AC - CZ23</v>
      </c>
      <c r="C121" s="49">
        <f>[30]PIVOT!$I$46</f>
        <v>0.97720135258324703</v>
      </c>
      <c r="D121" s="49">
        <f t="shared" ref="D121:F121" si="35">D44</f>
        <v>6.8965519290222155E-2</v>
      </c>
      <c r="E121" s="49">
        <f t="shared" si="35"/>
        <v>6.8965519290222155E-2</v>
      </c>
      <c r="F121" s="49">
        <f t="shared" si="35"/>
        <v>0.17641272113455647</v>
      </c>
      <c r="G121"/>
    </row>
    <row r="122" spans="2:7">
      <c r="B122" s="12" t="str">
        <f>Vars!A105</f>
        <v>Room A/C - CZ1</v>
      </c>
      <c r="C122" s="49">
        <f>[30]PIVOT!$H$47</f>
        <v>8.2235143584565747E-3</v>
      </c>
      <c r="D122" s="49">
        <f t="shared" ref="D122:F123" si="36">D45</f>
        <v>5.3226756579866766E-2</v>
      </c>
      <c r="E122" s="49">
        <f t="shared" si="36"/>
        <v>5.3226756579866766E-2</v>
      </c>
      <c r="F122" s="49">
        <f t="shared" si="36"/>
        <v>0.21069287259219041</v>
      </c>
      <c r="G122"/>
    </row>
    <row r="123" spans="2:7">
      <c r="B123" s="12" t="str">
        <f>Vars!A106</f>
        <v>Room A/C - CZ23</v>
      </c>
      <c r="C123" s="49">
        <f>[30]PIVOT!$I$47</f>
        <v>2.2798647416753057E-2</v>
      </c>
      <c r="D123" s="49">
        <f>D46</f>
        <v>0.10344827665008544</v>
      </c>
      <c r="E123" s="49">
        <f t="shared" si="36"/>
        <v>0.10344827665008544</v>
      </c>
      <c r="F123" s="49">
        <f t="shared" si="36"/>
        <v>0.16156829862253547</v>
      </c>
      <c r="G123"/>
    </row>
    <row r="124" spans="2:7">
      <c r="B124" s="12" t="str">
        <f>Vars!A107</f>
        <v>Electric WH</v>
      </c>
      <c r="C124" s="49">
        <f>C47</f>
        <v>0.55200000000000005</v>
      </c>
      <c r="D124" s="49">
        <f>D47</f>
        <v>0.94699999999999995</v>
      </c>
      <c r="E124" s="49">
        <f>E47</f>
        <v>0.94699999999999995</v>
      </c>
      <c r="F124" s="49">
        <f>F47</f>
        <v>0.88900000000000001</v>
      </c>
      <c r="G124"/>
    </row>
    <row r="125" spans="2:7">
      <c r="B125" s="12" t="str">
        <f>Vars!A108</f>
        <v xml:space="preserve">DHW &lt;55 </v>
      </c>
      <c r="C125" s="49">
        <f>[30]PIVOT!$A$8</f>
        <v>0.58017916240221834</v>
      </c>
      <c r="D125" s="49"/>
      <c r="E125" s="49"/>
      <c r="F125" s="49"/>
      <c r="G125"/>
    </row>
    <row r="126" spans="2:7">
      <c r="B126" s="12" t="str">
        <f>Vars!A109</f>
        <v>DHW &gt;55</v>
      </c>
      <c r="C126" s="49">
        <f>[30]PIVOT!$B$8</f>
        <v>0.4198208375977816</v>
      </c>
      <c r="D126" s="49"/>
      <c r="E126" s="49"/>
      <c r="F126" s="49"/>
      <c r="G126"/>
    </row>
    <row r="127" spans="2:7">
      <c r="B127" s="12" t="str">
        <f>Vars!A110</f>
        <v>Refrigerator</v>
      </c>
      <c r="C127" s="49">
        <f>C54</f>
        <v>1.2831400506742725</v>
      </c>
      <c r="D127" s="49">
        <f t="shared" ref="C127:F133" si="37">D54</f>
        <v>1.0236201688615751</v>
      </c>
      <c r="E127" s="49">
        <f t="shared" si="37"/>
        <v>1.0236201688615751</v>
      </c>
      <c r="F127" s="49">
        <f t="shared" si="37"/>
        <v>1.1963734390534748</v>
      </c>
      <c r="G127"/>
    </row>
    <row r="128" spans="2:7">
      <c r="B128" s="12" t="str">
        <f>Vars!A111</f>
        <v>Freezer</v>
      </c>
      <c r="C128" s="49">
        <f t="shared" si="37"/>
        <v>0.52766223341265472</v>
      </c>
      <c r="D128" s="49">
        <f t="shared" si="37"/>
        <v>4.7085148422193572E-2</v>
      </c>
      <c r="E128" s="49">
        <f t="shared" si="37"/>
        <v>4.7085148422193572E-2</v>
      </c>
      <c r="F128" s="49">
        <f t="shared" si="37"/>
        <v>0.44147575101117187</v>
      </c>
      <c r="G128"/>
    </row>
    <row r="129" spans="2:7">
      <c r="B129" s="12" t="str">
        <f>Vars!A112</f>
        <v>Clothes Washer</v>
      </c>
      <c r="C129" s="49">
        <f t="shared" si="37"/>
        <v>0.98546930096285335</v>
      </c>
      <c r="D129" s="49">
        <f t="shared" ref="D129:F129" si="38">D56</f>
        <v>0.46477658924872384</v>
      </c>
      <c r="E129" s="49">
        <f t="shared" si="38"/>
        <v>0.46477658924872384</v>
      </c>
      <c r="F129" s="49">
        <f t="shared" si="38"/>
        <v>0.95368270905809616</v>
      </c>
      <c r="G129"/>
    </row>
    <row r="130" spans="2:7">
      <c r="B130" s="12" t="s">
        <v>352</v>
      </c>
      <c r="C130" s="49">
        <f t="shared" si="37"/>
        <v>0.93640551858187504</v>
      </c>
      <c r="D130" s="49">
        <f t="shared" ref="D130:F130" si="39">D57</f>
        <v>0.46266057162974022</v>
      </c>
      <c r="E130" s="49">
        <f t="shared" si="39"/>
        <v>0.46266057162974022</v>
      </c>
      <c r="F130" s="49">
        <f t="shared" si="39"/>
        <v>0.88480083438048951</v>
      </c>
      <c r="G130"/>
    </row>
    <row r="131" spans="2:7">
      <c r="B131" s="12" t="str">
        <f>Vars!A114</f>
        <v>Dishwasher</v>
      </c>
      <c r="C131" s="49">
        <f t="shared" si="37"/>
        <v>0.87764489634961651</v>
      </c>
      <c r="D131" s="49">
        <f t="shared" ref="D131:F131" si="40">D58</f>
        <v>0.78113749066870952</v>
      </c>
      <c r="E131" s="49">
        <f t="shared" si="40"/>
        <v>0.78113749066870952</v>
      </c>
      <c r="F131" s="49">
        <f t="shared" si="40"/>
        <v>0.76196535734220561</v>
      </c>
      <c r="G131"/>
    </row>
    <row r="132" spans="2:7">
      <c r="B132" s="12" t="str">
        <f>Vars!A115</f>
        <v>Microwave</v>
      </c>
      <c r="C132" s="49">
        <f t="shared" si="37"/>
        <v>0.95</v>
      </c>
      <c r="D132" s="49">
        <f t="shared" ref="D132:F132" si="41">D59</f>
        <v>0.95</v>
      </c>
      <c r="E132" s="49">
        <f t="shared" si="41"/>
        <v>0.95</v>
      </c>
      <c r="F132" s="49">
        <f t="shared" si="41"/>
        <v>0.95</v>
      </c>
      <c r="G132"/>
    </row>
    <row r="133" spans="2:7">
      <c r="B133" s="12" t="str">
        <f>Vars!A116</f>
        <v>Electric Oven</v>
      </c>
      <c r="C133" s="49">
        <f t="shared" si="37"/>
        <v>0.86895503473004965</v>
      </c>
      <c r="D133" s="49">
        <f t="shared" ref="D133:F133" si="42">D60</f>
        <v>0.96585088459989477</v>
      </c>
      <c r="E133" s="49">
        <f t="shared" si="42"/>
        <v>0.96585088459989477</v>
      </c>
      <c r="F133" s="49">
        <f t="shared" si="42"/>
        <v>0.89920410170315002</v>
      </c>
      <c r="G133"/>
    </row>
    <row r="134" spans="2:7">
      <c r="B134" s="12" t="str">
        <f>Vars!A117</f>
        <v>TV</v>
      </c>
      <c r="C134" s="49">
        <f>[30]PIVOT!$A$57</f>
        <v>2.6054137843968896</v>
      </c>
      <c r="D134" s="49">
        <f t="shared" ref="D134:F134" si="43">D61</f>
        <v>1.5145007606068333</v>
      </c>
      <c r="E134" s="49">
        <f t="shared" si="43"/>
        <v>1.5145007606068333</v>
      </c>
      <c r="F134" s="49">
        <f t="shared" si="43"/>
        <v>2.0454162110233622</v>
      </c>
      <c r="G134"/>
    </row>
    <row r="135" spans="2:7">
      <c r="B135" s="12" t="str">
        <f>Vars!A118</f>
        <v>Set top box</v>
      </c>
      <c r="C135" s="49">
        <f>C62</f>
        <v>1.0654190989347723</v>
      </c>
      <c r="D135" s="49">
        <f t="shared" ref="D135:F135" si="44">D62</f>
        <v>1.038434724492763</v>
      </c>
      <c r="E135" s="49">
        <f t="shared" si="44"/>
        <v>1.038434724492763</v>
      </c>
      <c r="F135" s="49">
        <f t="shared" si="44"/>
        <v>1.3170555258448295</v>
      </c>
      <c r="G135"/>
    </row>
    <row r="136" spans="2:7">
      <c r="B136" s="12" t="str">
        <f>Vars!A119</f>
        <v>Computer</v>
      </c>
      <c r="C136" s="49">
        <f>[30]PIVOT!$B$57</f>
        <v>1.6074234662188889</v>
      </c>
      <c r="D136" s="49">
        <f t="shared" ref="D136:F136" si="45">D63</f>
        <v>0.71239882016544165</v>
      </c>
      <c r="E136" s="49">
        <f t="shared" si="45"/>
        <v>0.71239882016544165</v>
      </c>
      <c r="F136" s="49">
        <f t="shared" si="45"/>
        <v>1.1331497454290105</v>
      </c>
      <c r="G136"/>
    </row>
    <row r="137" spans="2:7">
      <c r="B137" s="12" t="str">
        <f>Vars!A120</f>
        <v>Monitor</v>
      </c>
      <c r="C137" s="49">
        <f>C64</f>
        <v>1.0109839382712824</v>
      </c>
      <c r="D137" s="49">
        <f t="shared" ref="D137:F137" si="46">D64</f>
        <v>0.45062457275939666</v>
      </c>
      <c r="E137" s="49">
        <f t="shared" si="46"/>
        <v>0.45062457275939666</v>
      </c>
      <c r="F137" s="49">
        <f t="shared" si="46"/>
        <v>0.72198913200149617</v>
      </c>
      <c r="G137"/>
    </row>
    <row r="138" spans="2:7">
      <c r="B138" s="12" t="str">
        <f>Vars!A121</f>
        <v>EISA nx</v>
      </c>
      <c r="C138" s="49">
        <f t="shared" ref="C138:F139" si="47">C65</f>
        <v>0.73183262488926393</v>
      </c>
      <c r="D138" s="49">
        <f t="shared" si="47"/>
        <v>0.41826483853544827</v>
      </c>
      <c r="E138" s="49">
        <f t="shared" si="47"/>
        <v>0.41826483853544827</v>
      </c>
      <c r="F138" s="49">
        <f t="shared" si="47"/>
        <v>0.81140182193357802</v>
      </c>
      <c r="G138"/>
    </row>
    <row r="139" spans="2:7">
      <c r="B139" s="12" t="str">
        <f>Vars!A122</f>
        <v>EISA x</v>
      </c>
      <c r="C139" s="49">
        <f t="shared" si="47"/>
        <v>0.26816737511073607</v>
      </c>
      <c r="D139" s="49">
        <f t="shared" si="47"/>
        <v>0.58148897029728519</v>
      </c>
      <c r="E139" s="49">
        <f t="shared" si="47"/>
        <v>0.58148897029728519</v>
      </c>
      <c r="F139" s="49">
        <f t="shared" si="47"/>
        <v>0.18859817806642193</v>
      </c>
      <c r="G139"/>
    </row>
    <row r="140" spans="2:7">
      <c r="B140" s="12" t="str">
        <f>Vars!A123</f>
        <v>WallSqft</v>
      </c>
      <c r="C140" s="54">
        <f>[30]Size!$G$7</f>
        <v>583.40896061568401</v>
      </c>
      <c r="D140" s="49"/>
      <c r="E140" s="49"/>
      <c r="F140" s="49"/>
      <c r="G140"/>
    </row>
    <row r="141" spans="2:7">
      <c r="B141" s="12" t="str">
        <f>Vars!A124</f>
        <v>AtticSqft</v>
      </c>
      <c r="C141" s="54">
        <f>[30]Size!$G$5</f>
        <v>1177.7370772549227</v>
      </c>
      <c r="D141" s="54"/>
      <c r="E141" s="54"/>
      <c r="F141" s="54"/>
      <c r="G141"/>
    </row>
    <row r="142" spans="2:7">
      <c r="B142" s="12" t="str">
        <f>Vars!A125</f>
        <v>FloorSqft</v>
      </c>
      <c r="C142" s="54">
        <f>[30]Size!$G$6</f>
        <v>1177.7370772549227</v>
      </c>
      <c r="D142" s="49"/>
      <c r="E142" s="49"/>
      <c r="F142" s="49"/>
      <c r="G142"/>
    </row>
    <row r="143" spans="2:7">
      <c r="B143" s="12" t="str">
        <f>Vars!A126</f>
        <v>WindowSqft</v>
      </c>
      <c r="C143" s="54">
        <f>[30]Size!$G$8</f>
        <v>147.21713465686534</v>
      </c>
      <c r="D143" s="49"/>
      <c r="E143" s="49"/>
      <c r="F143" s="49"/>
      <c r="G143"/>
    </row>
    <row r="144" spans="2:7">
      <c r="B144" s="12" t="str">
        <f>Vars!A127</f>
        <v>HomeSqft</v>
      </c>
      <c r="C144" s="54">
        <f>[30]Size!$F$2</f>
        <v>2355.4741545098454</v>
      </c>
      <c r="D144" s="49"/>
      <c r="E144" s="49"/>
      <c r="F144" s="49"/>
      <c r="G144"/>
    </row>
    <row r="145" spans="2:7">
      <c r="B145" s="12" t="str">
        <f>Vars!A128</f>
        <v>Lighting</v>
      </c>
      <c r="C145" s="54">
        <v>77</v>
      </c>
      <c r="D145" s="105">
        <f>D72</f>
        <v>23</v>
      </c>
      <c r="E145" s="105">
        <f t="shared" ref="E145:F145" si="48">E72</f>
        <v>23</v>
      </c>
      <c r="F145" s="105">
        <f t="shared" si="48"/>
        <v>34.5</v>
      </c>
      <c r="G145"/>
    </row>
    <row r="146" spans="2:7">
      <c r="B146" s="12"/>
      <c r="C146" s="54"/>
      <c r="D146" s="54"/>
      <c r="E146" s="54"/>
      <c r="F146" s="54"/>
      <c r="G146"/>
    </row>
    <row r="147" spans="2:7">
      <c r="B147" s="12"/>
      <c r="C147" s="49"/>
      <c r="D147" s="49"/>
      <c r="E147" s="49"/>
      <c r="F147" s="49"/>
      <c r="G147"/>
    </row>
    <row r="148" spans="2:7">
      <c r="B148" s="12"/>
      <c r="C148" s="49"/>
      <c r="D148" s="49"/>
      <c r="E148" s="49"/>
      <c r="F148" s="49"/>
      <c r="G148"/>
    </row>
    <row r="149" spans="2:7">
      <c r="B149" s="12"/>
      <c r="C149" s="49"/>
      <c r="D149" s="49"/>
      <c r="E149" s="49"/>
      <c r="F149" s="49"/>
      <c r="G149"/>
    </row>
    <row r="150" spans="2:7">
      <c r="B150" s="12"/>
      <c r="C150" s="49"/>
      <c r="D150" s="49"/>
      <c r="E150" s="49"/>
      <c r="F150" s="49"/>
      <c r="G150"/>
    </row>
    <row r="151" spans="2:7">
      <c r="G151"/>
    </row>
    <row r="152" spans="2:7">
      <c r="G152"/>
    </row>
    <row r="153" spans="2:7">
      <c r="G153"/>
    </row>
    <row r="154" spans="2:7">
      <c r="G154"/>
    </row>
    <row r="155" spans="2:7">
      <c r="G155"/>
    </row>
    <row r="156" spans="2:7">
      <c r="G156"/>
    </row>
    <row r="157" spans="2:7">
      <c r="G157"/>
    </row>
    <row r="158" spans="2:7">
      <c r="G158"/>
    </row>
    <row r="159" spans="2:7">
      <c r="G159"/>
    </row>
    <row r="160" spans="2:7">
      <c r="G160"/>
    </row>
    <row r="161" spans="7:7">
      <c r="G161"/>
    </row>
    <row r="162" spans="7:7">
      <c r="G162"/>
    </row>
    <row r="163" spans="7:7">
      <c r="G163"/>
    </row>
    <row r="164" spans="7:7">
      <c r="G164"/>
    </row>
    <row r="165" spans="7:7">
      <c r="G165"/>
    </row>
    <row r="166" spans="7:7">
      <c r="G166"/>
    </row>
    <row r="167" spans="7:7">
      <c r="G167"/>
    </row>
    <row r="168" spans="7:7">
      <c r="G168"/>
    </row>
    <row r="169" spans="7:7">
      <c r="G169"/>
    </row>
    <row r="170" spans="7:7">
      <c r="G170"/>
    </row>
    <row r="171" spans="7:7">
      <c r="G171"/>
    </row>
    <row r="172" spans="7:7">
      <c r="G172"/>
    </row>
    <row r="173" spans="7:7">
      <c r="G173"/>
    </row>
    <row r="174" spans="7:7">
      <c r="G174"/>
    </row>
    <row r="175" spans="7:7">
      <c r="G175"/>
    </row>
    <row r="176" spans="7:7">
      <c r="G176"/>
    </row>
    <row r="177" spans="7:7">
      <c r="G177"/>
    </row>
    <row r="178" spans="7:7">
      <c r="G178"/>
    </row>
    <row r="179" spans="7:7">
      <c r="G179"/>
    </row>
    <row r="180" spans="7:7">
      <c r="G180"/>
    </row>
    <row r="181" spans="7:7">
      <c r="G181"/>
    </row>
    <row r="182" spans="7:7">
      <c r="G182"/>
    </row>
    <row r="183" spans="7:7">
      <c r="G183"/>
    </row>
    <row r="184" spans="7:7">
      <c r="G184"/>
    </row>
    <row r="185" spans="7:7">
      <c r="G185"/>
    </row>
    <row r="186" spans="7:7">
      <c r="G186"/>
    </row>
    <row r="187" spans="7:7">
      <c r="G187"/>
    </row>
    <row r="188" spans="7:7">
      <c r="G188"/>
    </row>
    <row r="189" spans="7:7">
      <c r="G189"/>
    </row>
    <row r="190" spans="7:7">
      <c r="G190"/>
    </row>
    <row r="191" spans="7:7">
      <c r="G191"/>
    </row>
    <row r="192" spans="7:7">
      <c r="G192"/>
    </row>
    <row r="193" spans="7:7">
      <c r="G193"/>
    </row>
    <row r="194" spans="7:7">
      <c r="G194"/>
    </row>
    <row r="195" spans="7:7">
      <c r="G195"/>
    </row>
    <row r="196" spans="7:7">
      <c r="G196"/>
    </row>
    <row r="197" spans="7:7">
      <c r="G197"/>
    </row>
    <row r="198" spans="7:7">
      <c r="G198"/>
    </row>
    <row r="199" spans="7:7">
      <c r="G199"/>
    </row>
    <row r="200" spans="7:7">
      <c r="G200"/>
    </row>
    <row r="201" spans="7:7">
      <c r="G201"/>
    </row>
    <row r="202" spans="7:7">
      <c r="G202"/>
    </row>
    <row r="203" spans="7:7">
      <c r="G203"/>
    </row>
    <row r="204" spans="7:7">
      <c r="G204"/>
    </row>
    <row r="205" spans="7:7">
      <c r="G205"/>
    </row>
    <row r="206" spans="7:7">
      <c r="G206"/>
    </row>
    <row r="207" spans="7:7">
      <c r="G207"/>
    </row>
    <row r="208" spans="7:7">
      <c r="G208"/>
    </row>
    <row r="209" spans="7:7">
      <c r="G209"/>
    </row>
    <row r="210" spans="7:7">
      <c r="G210"/>
    </row>
    <row r="211" spans="7:7">
      <c r="G211"/>
    </row>
    <row r="212" spans="7:7">
      <c r="G212"/>
    </row>
    <row r="213" spans="7:7">
      <c r="G213"/>
    </row>
    <row r="214" spans="7:7">
      <c r="G214"/>
    </row>
    <row r="215" spans="7:7">
      <c r="G215"/>
    </row>
    <row r="216" spans="7:7">
      <c r="G216"/>
    </row>
    <row r="217" spans="7:7">
      <c r="G217"/>
    </row>
    <row r="218" spans="7:7">
      <c r="G218"/>
    </row>
    <row r="219" spans="7:7">
      <c r="G219"/>
    </row>
    <row r="220" spans="7:7">
      <c r="G220"/>
    </row>
    <row r="221" spans="7:7">
      <c r="G221"/>
    </row>
    <row r="222" spans="7:7">
      <c r="G222"/>
    </row>
    <row r="223" spans="7:7">
      <c r="G223"/>
    </row>
    <row r="224" spans="7:7">
      <c r="G224"/>
    </row>
    <row r="225" spans="7:7">
      <c r="G225"/>
    </row>
    <row r="226" spans="7:7">
      <c r="G226"/>
    </row>
    <row r="227" spans="7:7">
      <c r="G227"/>
    </row>
    <row r="228" spans="7:7">
      <c r="G228"/>
    </row>
    <row r="229" spans="7:7">
      <c r="G229"/>
    </row>
    <row r="230" spans="7:7">
      <c r="G230"/>
    </row>
    <row r="231" spans="7:7">
      <c r="G231"/>
    </row>
    <row r="232" spans="7:7">
      <c r="G232"/>
    </row>
    <row r="233" spans="7:7">
      <c r="G233"/>
    </row>
    <row r="234" spans="7:7">
      <c r="G234"/>
    </row>
    <row r="235" spans="7:7">
      <c r="G235"/>
    </row>
    <row r="236" spans="7:7">
      <c r="G236"/>
    </row>
    <row r="237" spans="7:7">
      <c r="G237"/>
    </row>
    <row r="238" spans="7:7">
      <c r="G238"/>
    </row>
    <row r="239" spans="7:7">
      <c r="G239"/>
    </row>
    <row r="240" spans="7:7">
      <c r="G240"/>
    </row>
    <row r="241" spans="7:7">
      <c r="G241"/>
    </row>
    <row r="242" spans="7:7">
      <c r="G242"/>
    </row>
    <row r="243" spans="7:7">
      <c r="G243"/>
    </row>
    <row r="244" spans="7:7">
      <c r="G244"/>
    </row>
    <row r="245" spans="7:7">
      <c r="G245"/>
    </row>
    <row r="246" spans="7:7">
      <c r="G246"/>
    </row>
    <row r="247" spans="7:7">
      <c r="G247"/>
    </row>
    <row r="248" spans="7:7">
      <c r="G248"/>
    </row>
    <row r="249" spans="7:7">
      <c r="G249"/>
    </row>
    <row r="250" spans="7:7">
      <c r="G250"/>
    </row>
    <row r="251" spans="7:7">
      <c r="G251"/>
    </row>
    <row r="252" spans="7:7">
      <c r="G252"/>
    </row>
    <row r="253" spans="7:7">
      <c r="G253"/>
    </row>
    <row r="254" spans="7:7">
      <c r="G254"/>
    </row>
    <row r="255" spans="7:7">
      <c r="G255"/>
    </row>
    <row r="256" spans="7:7">
      <c r="G256"/>
    </row>
    <row r="257" spans="7:7">
      <c r="G257"/>
    </row>
    <row r="258" spans="7:7">
      <c r="G258"/>
    </row>
    <row r="259" spans="7:7">
      <c r="G259"/>
    </row>
    <row r="260" spans="7:7">
      <c r="G260"/>
    </row>
    <row r="261" spans="7:7">
      <c r="G261"/>
    </row>
    <row r="262" spans="7:7">
      <c r="G262"/>
    </row>
    <row r="263" spans="7:7">
      <c r="G263"/>
    </row>
    <row r="264" spans="7:7">
      <c r="G264"/>
    </row>
    <row r="265" spans="7:7">
      <c r="G265"/>
    </row>
    <row r="266" spans="7:7">
      <c r="G266"/>
    </row>
    <row r="267" spans="7:7">
      <c r="G267"/>
    </row>
    <row r="268" spans="7:7">
      <c r="G268"/>
    </row>
    <row r="269" spans="7:7">
      <c r="G269"/>
    </row>
    <row r="270" spans="7:7">
      <c r="G270"/>
    </row>
    <row r="271" spans="7:7">
      <c r="G271"/>
    </row>
    <row r="272" spans="7:7">
      <c r="G272"/>
    </row>
    <row r="273" spans="7:7">
      <c r="G273"/>
    </row>
    <row r="274" spans="7:7">
      <c r="G274"/>
    </row>
    <row r="275" spans="7:7">
      <c r="G275"/>
    </row>
    <row r="276" spans="7:7">
      <c r="G276"/>
    </row>
    <row r="277" spans="7:7">
      <c r="G277"/>
    </row>
    <row r="278" spans="7:7">
      <c r="G278"/>
    </row>
    <row r="279" spans="7:7">
      <c r="G279"/>
    </row>
    <row r="280" spans="7:7">
      <c r="G280"/>
    </row>
    <row r="281" spans="7:7">
      <c r="G281"/>
    </row>
    <row r="282" spans="7:7">
      <c r="G282"/>
    </row>
    <row r="283" spans="7:7">
      <c r="G283"/>
    </row>
    <row r="284" spans="7:7">
      <c r="G284"/>
    </row>
    <row r="285" spans="7:7">
      <c r="G285"/>
    </row>
    <row r="286" spans="7:7">
      <c r="G286"/>
    </row>
    <row r="287" spans="7:7">
      <c r="G287"/>
    </row>
    <row r="288" spans="7:7">
      <c r="G288"/>
    </row>
    <row r="289" spans="7:7">
      <c r="G289"/>
    </row>
    <row r="290" spans="7:7">
      <c r="G290"/>
    </row>
    <row r="291" spans="7:7">
      <c r="G291"/>
    </row>
    <row r="292" spans="7:7">
      <c r="G292"/>
    </row>
    <row r="293" spans="7:7">
      <c r="G293"/>
    </row>
    <row r="294" spans="7:7">
      <c r="G294"/>
    </row>
    <row r="295" spans="7:7">
      <c r="G295"/>
    </row>
    <row r="296" spans="7:7">
      <c r="G296"/>
    </row>
    <row r="297" spans="7:7">
      <c r="G297"/>
    </row>
    <row r="298" spans="7:7">
      <c r="G298"/>
    </row>
    <row r="299" spans="7:7">
      <c r="G299"/>
    </row>
    <row r="300" spans="7:7">
      <c r="G300"/>
    </row>
    <row r="301" spans="7:7">
      <c r="G301"/>
    </row>
    <row r="302" spans="7:7">
      <c r="G302"/>
    </row>
    <row r="303" spans="7:7">
      <c r="G303"/>
    </row>
    <row r="304" spans="7:7">
      <c r="G304"/>
    </row>
    <row r="305" spans="7:7">
      <c r="G305"/>
    </row>
    <row r="306" spans="7:7">
      <c r="G306"/>
    </row>
    <row r="307" spans="7:7">
      <c r="G307"/>
    </row>
    <row r="308" spans="7:7">
      <c r="G308"/>
    </row>
    <row r="309" spans="7:7">
      <c r="G309"/>
    </row>
    <row r="310" spans="7:7">
      <c r="G310"/>
    </row>
    <row r="311" spans="7:7">
      <c r="G311"/>
    </row>
    <row r="312" spans="7:7">
      <c r="G312"/>
    </row>
    <row r="313" spans="7:7">
      <c r="G313"/>
    </row>
    <row r="314" spans="7:7">
      <c r="G314"/>
    </row>
    <row r="315" spans="7:7">
      <c r="G315"/>
    </row>
    <row r="316" spans="7:7">
      <c r="G316"/>
    </row>
    <row r="317" spans="7:7">
      <c r="G317"/>
    </row>
    <row r="318" spans="7:7">
      <c r="G318"/>
    </row>
    <row r="319" spans="7:7">
      <c r="G319"/>
    </row>
    <row r="320" spans="7:7">
      <c r="G320"/>
    </row>
    <row r="321" spans="7:7">
      <c r="G321"/>
    </row>
    <row r="322" spans="7:7">
      <c r="G322"/>
    </row>
    <row r="323" spans="7:7">
      <c r="G323"/>
    </row>
    <row r="324" spans="7:7">
      <c r="G324"/>
    </row>
    <row r="325" spans="7:7">
      <c r="G325"/>
    </row>
    <row r="326" spans="7:7">
      <c r="G326"/>
    </row>
    <row r="327" spans="7:7">
      <c r="G327"/>
    </row>
    <row r="328" spans="7:7">
      <c r="G328"/>
    </row>
    <row r="329" spans="7:7">
      <c r="G329"/>
    </row>
    <row r="330" spans="7:7">
      <c r="G330"/>
    </row>
    <row r="331" spans="7:7">
      <c r="G331"/>
    </row>
    <row r="332" spans="7:7">
      <c r="G332"/>
    </row>
    <row r="333" spans="7:7">
      <c r="G333"/>
    </row>
    <row r="334" spans="7:7">
      <c r="G334"/>
    </row>
    <row r="335" spans="7:7">
      <c r="G335"/>
    </row>
    <row r="336" spans="7:7">
      <c r="G336"/>
    </row>
    <row r="337" spans="7:7">
      <c r="G337"/>
    </row>
    <row r="338" spans="7:7">
      <c r="G338"/>
    </row>
    <row r="339" spans="7:7">
      <c r="G339"/>
    </row>
    <row r="340" spans="7:7">
      <c r="G340"/>
    </row>
    <row r="341" spans="7:7">
      <c r="G341"/>
    </row>
    <row r="342" spans="7:7">
      <c r="G342"/>
    </row>
    <row r="343" spans="7:7">
      <c r="G343"/>
    </row>
    <row r="344" spans="7:7">
      <c r="G344"/>
    </row>
    <row r="345" spans="7:7">
      <c r="G345"/>
    </row>
    <row r="346" spans="7:7">
      <c r="G346"/>
    </row>
    <row r="347" spans="7:7">
      <c r="G347"/>
    </row>
    <row r="348" spans="7:7">
      <c r="G348"/>
    </row>
    <row r="349" spans="7:7">
      <c r="G349"/>
    </row>
    <row r="350" spans="7:7">
      <c r="G350"/>
    </row>
    <row r="351" spans="7:7">
      <c r="G351"/>
    </row>
    <row r="352" spans="7:7">
      <c r="G352"/>
    </row>
    <row r="353" spans="7:7">
      <c r="G353"/>
    </row>
    <row r="354" spans="7:7">
      <c r="G354"/>
    </row>
    <row r="355" spans="7:7">
      <c r="G355"/>
    </row>
    <row r="356" spans="7:7">
      <c r="G356"/>
    </row>
    <row r="357" spans="7:7">
      <c r="G357"/>
    </row>
    <row r="358" spans="7:7">
      <c r="G358"/>
    </row>
    <row r="359" spans="7:7">
      <c r="G359"/>
    </row>
    <row r="360" spans="7:7">
      <c r="G360"/>
    </row>
    <row r="361" spans="7:7">
      <c r="G361"/>
    </row>
    <row r="362" spans="7:7">
      <c r="G362"/>
    </row>
    <row r="363" spans="7:7">
      <c r="G363"/>
    </row>
    <row r="364" spans="7:7">
      <c r="G364"/>
    </row>
    <row r="365" spans="7:7">
      <c r="G365"/>
    </row>
    <row r="366" spans="7:7">
      <c r="G366"/>
    </row>
    <row r="367" spans="7:7">
      <c r="G367"/>
    </row>
    <row r="368" spans="7:7">
      <c r="G368"/>
    </row>
    <row r="369" spans="7:7">
      <c r="G369"/>
    </row>
    <row r="370" spans="7:7">
      <c r="G370"/>
    </row>
    <row r="371" spans="7:7">
      <c r="G371"/>
    </row>
    <row r="372" spans="7:7">
      <c r="G372"/>
    </row>
  </sheetData>
  <phoneticPr fontId="0" type="noConversion"/>
  <pageMargins left="0.75" right="0.75" top="1" bottom="1" header="0.5" footer="0.5"/>
  <pageSetup scale="61" fitToHeight="0" orientation="landscape" r:id="rId1"/>
  <headerFooter alignWithMargins="0">
    <oddFooter xml:space="preserve">&amp;L&amp;D &amp;T&amp;C&amp;P of &amp;N&amp;R&amp;F &amp;A  </oddFooter>
  </headerFooter>
  <rowBreaks count="4" manualBreakCount="4">
    <brk id="68" max="19" man="1"/>
    <brk id="72" max="19" man="1"/>
    <brk id="90" max="19" man="1"/>
    <brk id="144" max="19" man="1"/>
  </rowBreaks>
  <legacyDrawing r:id="rId2"/>
</worksheet>
</file>

<file path=xl/worksheets/sheet13.xml><?xml version="1.0" encoding="utf-8"?>
<worksheet xmlns="http://schemas.openxmlformats.org/spreadsheetml/2006/main" xmlns:r="http://schemas.openxmlformats.org/officeDocument/2006/relationships">
  <sheetPr codeName="Sheet21"/>
  <dimension ref="B3:I12"/>
  <sheetViews>
    <sheetView zoomScale="72" workbookViewId="0">
      <selection activeCell="C3" sqref="C3"/>
    </sheetView>
  </sheetViews>
  <sheetFormatPr defaultRowHeight="12.75"/>
  <cols>
    <col min="1" max="2" width="19" customWidth="1"/>
    <col min="3" max="12" width="12" customWidth="1"/>
    <col min="13" max="14" width="11.7109375" customWidth="1"/>
    <col min="15" max="16" width="10.7109375" customWidth="1"/>
    <col min="17" max="18" width="11.28515625" customWidth="1"/>
    <col min="19" max="19" width="10" customWidth="1"/>
    <col min="20" max="20" width="10.7109375" customWidth="1"/>
  </cols>
  <sheetData>
    <row r="3" spans="2:9">
      <c r="C3" s="56"/>
      <c r="D3" s="56"/>
      <c r="E3" s="56"/>
      <c r="F3" s="56"/>
      <c r="G3" s="56"/>
      <c r="H3" s="56"/>
      <c r="I3" s="56"/>
    </row>
    <row r="5" spans="2:9">
      <c r="C5" s="44" t="s">
        <v>162</v>
      </c>
      <c r="D5" s="44" t="s">
        <v>319</v>
      </c>
      <c r="E5" s="41" t="s">
        <v>162</v>
      </c>
      <c r="F5" s="41" t="s">
        <v>319</v>
      </c>
    </row>
    <row r="6" spans="2:9">
      <c r="B6" t="s">
        <v>47</v>
      </c>
      <c r="C6" s="44"/>
      <c r="D6" s="44" t="s">
        <v>160</v>
      </c>
      <c r="E6" s="41"/>
      <c r="F6" s="41" t="s">
        <v>139</v>
      </c>
    </row>
    <row r="7" spans="2:9">
      <c r="B7" t="s">
        <v>135</v>
      </c>
      <c r="C7" s="45"/>
      <c r="D7" s="46"/>
      <c r="E7" s="47"/>
      <c r="F7" s="48"/>
    </row>
    <row r="8" spans="2:9">
      <c r="B8" t="s">
        <v>136</v>
      </c>
      <c r="C8" s="45"/>
      <c r="D8" s="46"/>
      <c r="E8" s="47"/>
      <c r="F8" s="48"/>
    </row>
    <row r="9" spans="2:9">
      <c r="B9" t="s">
        <v>137</v>
      </c>
      <c r="C9" s="45"/>
      <c r="D9" s="46"/>
      <c r="E9" s="47"/>
      <c r="F9" s="48"/>
    </row>
    <row r="10" spans="2:9">
      <c r="B10" t="s">
        <v>138</v>
      </c>
      <c r="C10" s="45"/>
      <c r="D10" s="46"/>
      <c r="E10" s="47"/>
      <c r="F10" s="48"/>
    </row>
    <row r="11" spans="2:9">
      <c r="C11" s="45"/>
      <c r="D11" s="46"/>
      <c r="E11" s="47"/>
      <c r="F11" s="48"/>
    </row>
    <row r="12" spans="2:9">
      <c r="C12" s="45">
        <f>SUM(C7:C10)</f>
        <v>0</v>
      </c>
      <c r="D12" s="45">
        <f>SUM(D7:D10)</f>
        <v>0</v>
      </c>
      <c r="E12" s="47">
        <f>SUM(E7:E10)</f>
        <v>0</v>
      </c>
      <c r="F12" s="47">
        <f>SUM(F7:F10)</f>
        <v>0</v>
      </c>
    </row>
  </sheetData>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sheetPr codeName="Sheet8"/>
  <dimension ref="A1:C128"/>
  <sheetViews>
    <sheetView topLeftCell="A25" workbookViewId="0">
      <selection activeCell="B68" sqref="B68"/>
    </sheetView>
  </sheetViews>
  <sheetFormatPr defaultRowHeight="12.75"/>
  <cols>
    <col min="1" max="1" width="22.85546875" customWidth="1"/>
    <col min="2" max="2" width="111.5703125" customWidth="1"/>
    <col min="4" max="4" width="17.7109375" customWidth="1"/>
  </cols>
  <sheetData>
    <row r="1" spans="1:3">
      <c r="A1" t="s">
        <v>83</v>
      </c>
      <c r="B1" t="s">
        <v>100</v>
      </c>
    </row>
    <row r="5" spans="1:3">
      <c r="A5" s="69" t="s">
        <v>82</v>
      </c>
      <c r="B5" s="5" t="s">
        <v>84</v>
      </c>
      <c r="C5" s="5" t="s">
        <v>51</v>
      </c>
    </row>
    <row r="6" spans="1:3">
      <c r="A6" s="85" t="s">
        <v>140</v>
      </c>
      <c r="B6" t="s">
        <v>169</v>
      </c>
      <c r="C6" s="1">
        <f>ROW()-5</f>
        <v>1</v>
      </c>
    </row>
    <row r="7" spans="1:3">
      <c r="A7" s="85" t="s">
        <v>251</v>
      </c>
      <c r="B7" t="s">
        <v>573</v>
      </c>
      <c r="C7" s="1">
        <f t="shared" ref="C7:C61" si="0">ROW()-5</f>
        <v>2</v>
      </c>
    </row>
    <row r="8" spans="1:3">
      <c r="A8" s="85" t="s">
        <v>252</v>
      </c>
      <c r="B8" t="s">
        <v>574</v>
      </c>
      <c r="C8" s="1">
        <f t="shared" si="0"/>
        <v>3</v>
      </c>
    </row>
    <row r="9" spans="1:3">
      <c r="A9" s="85" t="s">
        <v>253</v>
      </c>
      <c r="B9" t="s">
        <v>575</v>
      </c>
      <c r="C9" s="1">
        <f t="shared" si="0"/>
        <v>4</v>
      </c>
    </row>
    <row r="10" spans="1:3">
      <c r="A10" s="85" t="s">
        <v>141</v>
      </c>
      <c r="B10" t="s">
        <v>576</v>
      </c>
      <c r="C10" s="1">
        <f t="shared" si="0"/>
        <v>5</v>
      </c>
    </row>
    <row r="11" spans="1:3">
      <c r="A11" s="85" t="s">
        <v>254</v>
      </c>
      <c r="B11" t="s">
        <v>577</v>
      </c>
      <c r="C11" s="1">
        <f t="shared" si="0"/>
        <v>6</v>
      </c>
    </row>
    <row r="12" spans="1:3">
      <c r="A12" s="85" t="s">
        <v>269</v>
      </c>
      <c r="B12" t="s">
        <v>578</v>
      </c>
      <c r="C12" s="1"/>
    </row>
    <row r="13" spans="1:3">
      <c r="A13" s="85" t="s">
        <v>142</v>
      </c>
      <c r="B13" t="s">
        <v>579</v>
      </c>
      <c r="C13" s="1">
        <f t="shared" si="0"/>
        <v>8</v>
      </c>
    </row>
    <row r="14" spans="1:3">
      <c r="A14" s="85" t="s">
        <v>255</v>
      </c>
      <c r="B14" t="s">
        <v>580</v>
      </c>
      <c r="C14" s="1">
        <f t="shared" si="0"/>
        <v>9</v>
      </c>
    </row>
    <row r="15" spans="1:3">
      <c r="A15" s="85" t="s">
        <v>256</v>
      </c>
      <c r="B15" t="s">
        <v>581</v>
      </c>
      <c r="C15" s="1">
        <f t="shared" si="0"/>
        <v>10</v>
      </c>
    </row>
    <row r="16" spans="1:3">
      <c r="A16" s="85" t="s">
        <v>257</v>
      </c>
      <c r="B16" t="s">
        <v>582</v>
      </c>
      <c r="C16" s="1">
        <f t="shared" si="0"/>
        <v>11</v>
      </c>
    </row>
    <row r="17" spans="1:3">
      <c r="A17" s="85" t="s">
        <v>143</v>
      </c>
      <c r="B17" t="s">
        <v>583</v>
      </c>
      <c r="C17" s="1">
        <f t="shared" si="0"/>
        <v>12</v>
      </c>
    </row>
    <row r="18" spans="1:3">
      <c r="A18" s="85" t="s">
        <v>258</v>
      </c>
      <c r="B18" t="s">
        <v>584</v>
      </c>
      <c r="C18" s="1">
        <f t="shared" si="0"/>
        <v>13</v>
      </c>
    </row>
    <row r="19" spans="1:3">
      <c r="A19" s="85" t="s">
        <v>259</v>
      </c>
      <c r="B19" t="s">
        <v>585</v>
      </c>
      <c r="C19" s="1">
        <f t="shared" si="0"/>
        <v>14</v>
      </c>
    </row>
    <row r="20" spans="1:3">
      <c r="A20" s="85" t="s">
        <v>260</v>
      </c>
      <c r="B20" t="s">
        <v>586</v>
      </c>
      <c r="C20" s="1">
        <f t="shared" si="0"/>
        <v>15</v>
      </c>
    </row>
    <row r="21" spans="1:3">
      <c r="A21" s="85" t="s">
        <v>267</v>
      </c>
      <c r="B21" t="s">
        <v>587</v>
      </c>
      <c r="C21" s="1"/>
    </row>
    <row r="22" spans="1:3">
      <c r="A22" s="85" t="s">
        <v>268</v>
      </c>
      <c r="B22" t="s">
        <v>588</v>
      </c>
      <c r="C22" s="1"/>
    </row>
    <row r="23" spans="1:3">
      <c r="A23" s="85" t="s">
        <v>270</v>
      </c>
      <c r="B23" t="s">
        <v>589</v>
      </c>
      <c r="C23" s="1"/>
    </row>
    <row r="24" spans="1:3">
      <c r="A24" s="85" t="s">
        <v>144</v>
      </c>
      <c r="B24" t="s">
        <v>169</v>
      </c>
      <c r="C24" s="1">
        <f t="shared" si="0"/>
        <v>19</v>
      </c>
    </row>
    <row r="25" spans="1:3">
      <c r="A25" s="85" t="s">
        <v>261</v>
      </c>
      <c r="B25" t="s">
        <v>573</v>
      </c>
      <c r="C25" s="1">
        <f t="shared" si="0"/>
        <v>20</v>
      </c>
    </row>
    <row r="26" spans="1:3">
      <c r="A26" s="85" t="s">
        <v>262</v>
      </c>
      <c r="B26" t="s">
        <v>574</v>
      </c>
      <c r="C26" s="1">
        <f t="shared" si="0"/>
        <v>21</v>
      </c>
    </row>
    <row r="27" spans="1:3">
      <c r="A27" s="85" t="s">
        <v>263</v>
      </c>
      <c r="B27" t="s">
        <v>575</v>
      </c>
      <c r="C27" s="1">
        <f t="shared" si="0"/>
        <v>22</v>
      </c>
    </row>
    <row r="28" spans="1:3">
      <c r="A28" s="85" t="s">
        <v>145</v>
      </c>
      <c r="B28" t="s">
        <v>576</v>
      </c>
      <c r="C28" s="1">
        <f t="shared" si="0"/>
        <v>23</v>
      </c>
    </row>
    <row r="29" spans="1:3">
      <c r="A29" s="85" t="s">
        <v>264</v>
      </c>
      <c r="B29" t="s">
        <v>577</v>
      </c>
      <c r="C29" s="1">
        <f t="shared" si="0"/>
        <v>24</v>
      </c>
    </row>
    <row r="30" spans="1:3">
      <c r="A30" s="85" t="s">
        <v>271</v>
      </c>
      <c r="B30" t="s">
        <v>578</v>
      </c>
      <c r="C30" s="1"/>
    </row>
    <row r="31" spans="1:3">
      <c r="A31" s="85" t="s">
        <v>272</v>
      </c>
      <c r="B31" t="s">
        <v>590</v>
      </c>
      <c r="C31" s="1">
        <f t="shared" si="0"/>
        <v>26</v>
      </c>
    </row>
    <row r="32" spans="1:3">
      <c r="A32" s="85" t="s">
        <v>273</v>
      </c>
      <c r="B32" t="s">
        <v>591</v>
      </c>
      <c r="C32" s="1">
        <f t="shared" si="0"/>
        <v>27</v>
      </c>
    </row>
    <row r="33" spans="1:3">
      <c r="A33" s="85" t="s">
        <v>274</v>
      </c>
      <c r="B33" t="s">
        <v>592</v>
      </c>
      <c r="C33" s="1">
        <f t="shared" si="0"/>
        <v>28</v>
      </c>
    </row>
    <row r="34" spans="1:3">
      <c r="A34" s="85" t="s">
        <v>275</v>
      </c>
      <c r="B34" t="s">
        <v>593</v>
      </c>
      <c r="C34" s="1">
        <f t="shared" si="0"/>
        <v>29</v>
      </c>
    </row>
    <row r="35" spans="1:3">
      <c r="A35" s="85" t="s">
        <v>276</v>
      </c>
      <c r="B35" t="s">
        <v>594</v>
      </c>
      <c r="C35" s="1">
        <f t="shared" si="0"/>
        <v>30</v>
      </c>
    </row>
    <row r="36" spans="1:3">
      <c r="A36" s="85" t="s">
        <v>277</v>
      </c>
      <c r="B36" t="s">
        <v>595</v>
      </c>
      <c r="C36" s="1">
        <f t="shared" si="0"/>
        <v>31</v>
      </c>
    </row>
    <row r="37" spans="1:3">
      <c r="A37" s="85" t="s">
        <v>278</v>
      </c>
      <c r="B37" t="s">
        <v>596</v>
      </c>
      <c r="C37" s="1"/>
    </row>
    <row r="38" spans="1:3">
      <c r="A38" s="85" t="s">
        <v>146</v>
      </c>
      <c r="B38" t="s">
        <v>597</v>
      </c>
      <c r="C38" s="1">
        <f t="shared" si="0"/>
        <v>33</v>
      </c>
    </row>
    <row r="39" spans="1:3">
      <c r="A39" s="85" t="s">
        <v>265</v>
      </c>
      <c r="B39" t="s">
        <v>598</v>
      </c>
      <c r="C39" s="1">
        <f t="shared" si="0"/>
        <v>34</v>
      </c>
    </row>
    <row r="40" spans="1:3">
      <c r="A40" s="86" t="s">
        <v>147</v>
      </c>
      <c r="B40" t="s">
        <v>599</v>
      </c>
      <c r="C40" s="1">
        <f t="shared" si="0"/>
        <v>35</v>
      </c>
    </row>
    <row r="41" spans="1:3">
      <c r="A41" s="86" t="s">
        <v>266</v>
      </c>
      <c r="B41" t="s">
        <v>600</v>
      </c>
      <c r="C41" s="1">
        <f t="shared" si="0"/>
        <v>36</v>
      </c>
    </row>
    <row r="42" spans="1:3">
      <c r="A42" s="86" t="s">
        <v>322</v>
      </c>
      <c r="B42" t="s">
        <v>601</v>
      </c>
      <c r="C42" s="1"/>
    </row>
    <row r="43" spans="1:3">
      <c r="A43" s="86" t="s">
        <v>229</v>
      </c>
      <c r="B43" t="s">
        <v>602</v>
      </c>
      <c r="C43" s="1">
        <f t="shared" si="0"/>
        <v>38</v>
      </c>
    </row>
    <row r="44" spans="1:3">
      <c r="A44" s="86" t="s">
        <v>234</v>
      </c>
      <c r="B44" t="s">
        <v>603</v>
      </c>
      <c r="C44" s="1">
        <f t="shared" si="0"/>
        <v>39</v>
      </c>
    </row>
    <row r="45" spans="1:3">
      <c r="A45" s="86" t="s">
        <v>233</v>
      </c>
      <c r="B45" t="s">
        <v>604</v>
      </c>
      <c r="C45" s="1"/>
    </row>
    <row r="46" spans="1:3">
      <c r="A46" s="86" t="s">
        <v>235</v>
      </c>
      <c r="B46" t="s">
        <v>605</v>
      </c>
      <c r="C46" s="1">
        <f t="shared" si="0"/>
        <v>41</v>
      </c>
    </row>
    <row r="47" spans="1:3">
      <c r="A47" s="86" t="s">
        <v>236</v>
      </c>
      <c r="B47" t="s">
        <v>606</v>
      </c>
      <c r="C47" s="1">
        <f t="shared" si="0"/>
        <v>42</v>
      </c>
    </row>
    <row r="48" spans="1:3">
      <c r="A48" s="86" t="s">
        <v>232</v>
      </c>
      <c r="B48" t="s">
        <v>607</v>
      </c>
      <c r="C48" s="1"/>
    </row>
    <row r="49" spans="1:3">
      <c r="A49" s="86" t="str">
        <f>MLIST!B24</f>
        <v>Refrigerator</v>
      </c>
      <c r="B49" t="str">
        <f>CONCATENATE("Saturation of ",A49," in homes")</f>
        <v>Saturation of Refrigerator in homes</v>
      </c>
      <c r="C49" s="1">
        <f t="shared" si="0"/>
        <v>44</v>
      </c>
    </row>
    <row r="50" spans="1:3">
      <c r="A50" s="86" t="str">
        <f>MLIST!B26</f>
        <v>Freezer</v>
      </c>
      <c r="B50" t="str">
        <f t="shared" ref="B50:B59" si="1">CONCATENATE("Saturation of ",A50," in homes")</f>
        <v>Saturation of Freezer in homes</v>
      </c>
      <c r="C50" s="1">
        <f t="shared" si="0"/>
        <v>45</v>
      </c>
    </row>
    <row r="51" spans="1:3">
      <c r="A51" s="86" t="str">
        <f>MLIST!B14</f>
        <v>Clothes Washer</v>
      </c>
      <c r="B51" t="str">
        <f t="shared" si="1"/>
        <v>Saturation of Clothes Washer in homes</v>
      </c>
      <c r="C51" s="1">
        <f t="shared" si="0"/>
        <v>46</v>
      </c>
    </row>
    <row r="52" spans="1:3">
      <c r="A52" s="86" t="str">
        <f>MLIST!B22</f>
        <v>Clothes Dryer</v>
      </c>
      <c r="B52" t="str">
        <f t="shared" si="1"/>
        <v>Saturation of Clothes Dryer in homes</v>
      </c>
      <c r="C52" s="1">
        <f t="shared" si="0"/>
        <v>47</v>
      </c>
    </row>
    <row r="53" spans="1:3">
      <c r="A53" s="86" t="str">
        <f>MLIST!B12</f>
        <v>Dishwasher</v>
      </c>
      <c r="B53" t="str">
        <f t="shared" si="1"/>
        <v>Saturation of Dishwasher in homes</v>
      </c>
      <c r="C53" s="1">
        <f t="shared" si="0"/>
        <v>48</v>
      </c>
    </row>
    <row r="54" spans="1:3">
      <c r="A54" s="86" t="str">
        <f>MLIST!B35</f>
        <v>Microwave</v>
      </c>
      <c r="B54" t="str">
        <f t="shared" si="1"/>
        <v>Saturation of Microwave in homes</v>
      </c>
      <c r="C54" s="1">
        <f t="shared" si="0"/>
        <v>49</v>
      </c>
    </row>
    <row r="55" spans="1:3">
      <c r="A55" s="86" t="str">
        <f>MLIST!B34</f>
        <v>Electric Oven</v>
      </c>
      <c r="B55" t="str">
        <f t="shared" si="1"/>
        <v>Saturation of Electric Oven in homes</v>
      </c>
      <c r="C55" s="1">
        <f t="shared" si="0"/>
        <v>50</v>
      </c>
    </row>
    <row r="56" spans="1:3">
      <c r="A56" s="87" t="s">
        <v>152</v>
      </c>
      <c r="B56" t="str">
        <f t="shared" si="1"/>
        <v>Saturation of TV in homes</v>
      </c>
      <c r="C56" s="1">
        <f t="shared" si="0"/>
        <v>51</v>
      </c>
    </row>
    <row r="57" spans="1:3">
      <c r="A57" s="87" t="s">
        <v>153</v>
      </c>
      <c r="B57" t="str">
        <f t="shared" si="1"/>
        <v>Saturation of Set top box in homes</v>
      </c>
      <c r="C57" s="1">
        <f t="shared" si="0"/>
        <v>52</v>
      </c>
    </row>
    <row r="58" spans="1:3">
      <c r="A58" s="87" t="str">
        <f>MLIST!B44</f>
        <v>Computer</v>
      </c>
      <c r="B58" t="str">
        <f t="shared" si="1"/>
        <v>Saturation of Computer in homes</v>
      </c>
      <c r="C58" s="1">
        <f t="shared" si="0"/>
        <v>53</v>
      </c>
    </row>
    <row r="59" spans="1:3">
      <c r="A59" s="87" t="str">
        <f>MLIST!B38</f>
        <v>Monitor</v>
      </c>
      <c r="B59" t="str">
        <f t="shared" si="1"/>
        <v>Saturation of Monitor in homes</v>
      </c>
      <c r="C59" s="1">
        <f t="shared" si="0"/>
        <v>54</v>
      </c>
    </row>
    <row r="60" spans="1:3">
      <c r="A60" s="87" t="s">
        <v>231</v>
      </c>
      <c r="B60" t="s">
        <v>609</v>
      </c>
      <c r="C60" s="1">
        <f t="shared" si="0"/>
        <v>55</v>
      </c>
    </row>
    <row r="61" spans="1:3">
      <c r="A61" s="87" t="s">
        <v>230</v>
      </c>
      <c r="B61" t="s">
        <v>608</v>
      </c>
      <c r="C61" s="1">
        <f t="shared" si="0"/>
        <v>56</v>
      </c>
    </row>
    <row r="62" spans="1:3">
      <c r="A62" s="87" t="s">
        <v>173</v>
      </c>
      <c r="B62" t="s">
        <v>611</v>
      </c>
    </row>
    <row r="63" spans="1:3">
      <c r="A63" s="87" t="s">
        <v>174</v>
      </c>
      <c r="B63" t="s">
        <v>610</v>
      </c>
    </row>
    <row r="64" spans="1:3">
      <c r="A64" s="87" t="s">
        <v>175</v>
      </c>
      <c r="B64" t="s">
        <v>612</v>
      </c>
    </row>
    <row r="65" spans="1:2">
      <c r="A65" s="87" t="s">
        <v>176</v>
      </c>
      <c r="B65" t="s">
        <v>613</v>
      </c>
    </row>
    <row r="66" spans="1:2">
      <c r="A66" s="87" t="s">
        <v>178</v>
      </c>
      <c r="B66" t="s">
        <v>614</v>
      </c>
    </row>
    <row r="67" spans="1:2">
      <c r="A67" s="87" t="str">
        <f>MLIST!B10</f>
        <v>Lighting</v>
      </c>
      <c r="B67" t="s">
        <v>615</v>
      </c>
    </row>
    <row r="68" spans="1:2">
      <c r="A68" s="87"/>
    </row>
    <row r="70" spans="1:2">
      <c r="A70" s="92" t="s">
        <v>281</v>
      </c>
    </row>
    <row r="71" spans="1:2">
      <c r="A71" s="85" t="str">
        <f>A6</f>
        <v>Electric FAF - HZ1CZ1</v>
      </c>
    </row>
    <row r="72" spans="1:2">
      <c r="A72" s="85" t="str">
        <f t="shared" ref="A72:A107" si="2">A7</f>
        <v>Electric FAF - HZ1CZ23</v>
      </c>
    </row>
    <row r="73" spans="1:2">
      <c r="A73" s="85" t="str">
        <f t="shared" si="2"/>
        <v>Electric FAF - HZ23CZ1</v>
      </c>
    </row>
    <row r="74" spans="1:2">
      <c r="A74" s="85" t="str">
        <f t="shared" si="2"/>
        <v>Electric FAF - HZ23CZ23</v>
      </c>
    </row>
    <row r="75" spans="1:2">
      <c r="A75" s="85" t="str">
        <f t="shared" si="2"/>
        <v>Electric FAF - HZ1</v>
      </c>
    </row>
    <row r="76" spans="1:2">
      <c r="A76" s="85" t="str">
        <f t="shared" si="2"/>
        <v>Electric FAF - HZ23</v>
      </c>
    </row>
    <row r="77" spans="1:2">
      <c r="A77" s="85" t="str">
        <f t="shared" si="2"/>
        <v>Electric FAF - Region</v>
      </c>
    </row>
    <row r="78" spans="1:2">
      <c r="A78" s="85" t="str">
        <f t="shared" si="2"/>
        <v>Electric FAF w/ CAC - HZ1CZ1</v>
      </c>
    </row>
    <row r="79" spans="1:2">
      <c r="A79" s="85" t="str">
        <f t="shared" si="2"/>
        <v>Electric FAF w/ CAC - HZ1CZ23</v>
      </c>
    </row>
    <row r="80" spans="1:2">
      <c r="A80" s="85" t="str">
        <f t="shared" si="2"/>
        <v>Electric FAF w/ CAC - HZ23CZ1</v>
      </c>
    </row>
    <row r="81" spans="1:1">
      <c r="A81" s="85" t="str">
        <f t="shared" si="2"/>
        <v>Electric FAF w/ CAC - HZ23CZ23</v>
      </c>
    </row>
    <row r="82" spans="1:1">
      <c r="A82" s="85" t="str">
        <f t="shared" si="2"/>
        <v>Heat Pump - HZ1CZ1</v>
      </c>
    </row>
    <row r="83" spans="1:1">
      <c r="A83" s="85" t="str">
        <f t="shared" si="2"/>
        <v>Heat Pump - HZ1CZ23</v>
      </c>
    </row>
    <row r="84" spans="1:1">
      <c r="A84" s="85" t="str">
        <f t="shared" si="2"/>
        <v>Heat Pump - HZ23CZ1</v>
      </c>
    </row>
    <row r="85" spans="1:1">
      <c r="A85" s="85" t="str">
        <f t="shared" si="2"/>
        <v>Heat Pump - HZ23CZ23</v>
      </c>
    </row>
    <row r="86" spans="1:1">
      <c r="A86" s="85" t="str">
        <f t="shared" si="2"/>
        <v>Heat Pump - HZ1</v>
      </c>
    </row>
    <row r="87" spans="1:1">
      <c r="A87" s="85" t="str">
        <f t="shared" si="2"/>
        <v>Heat Pump - HZ23</v>
      </c>
    </row>
    <row r="88" spans="1:1">
      <c r="A88" s="85" t="str">
        <f t="shared" si="2"/>
        <v>Heat Pump - Region</v>
      </c>
    </row>
    <row r="89" spans="1:1">
      <c r="A89" s="85" t="str">
        <f t="shared" si="2"/>
        <v>Electric Zonal - HZ1CZ1</v>
      </c>
    </row>
    <row r="90" spans="1:1">
      <c r="A90" s="85" t="str">
        <f t="shared" si="2"/>
        <v>Electric Zonal - HZ1CZ23</v>
      </c>
    </row>
    <row r="91" spans="1:1">
      <c r="A91" s="85" t="str">
        <f t="shared" si="2"/>
        <v>Electric Zonal - HZ23CZ1</v>
      </c>
    </row>
    <row r="92" spans="1:1">
      <c r="A92" s="85" t="str">
        <f t="shared" si="2"/>
        <v>Electric Zonal - HZ23CZ23</v>
      </c>
    </row>
    <row r="93" spans="1:1">
      <c r="A93" s="85" t="str">
        <f t="shared" si="2"/>
        <v>Electric Zonal - HZ1</v>
      </c>
    </row>
    <row r="94" spans="1:1">
      <c r="A94" s="85" t="str">
        <f t="shared" si="2"/>
        <v>Electric Zonal - HZ23</v>
      </c>
    </row>
    <row r="95" spans="1:1">
      <c r="A95" s="85" t="str">
        <f t="shared" si="2"/>
        <v>Electric Zonal - Region</v>
      </c>
    </row>
    <row r="96" spans="1:1">
      <c r="A96" s="85" t="str">
        <f t="shared" si="2"/>
        <v>DHP - HZ1CZ1</v>
      </c>
    </row>
    <row r="97" spans="1:1">
      <c r="A97" s="85" t="str">
        <f t="shared" si="2"/>
        <v>DHP - HZ1CZ23</v>
      </c>
    </row>
    <row r="98" spans="1:1">
      <c r="A98" s="85" t="str">
        <f t="shared" si="2"/>
        <v>DHP - HZ23CZ1</v>
      </c>
    </row>
    <row r="99" spans="1:1">
      <c r="A99" s="85" t="str">
        <f t="shared" si="2"/>
        <v>DHP - HZ23CZ23</v>
      </c>
    </row>
    <row r="100" spans="1:1">
      <c r="A100" s="85" t="str">
        <f t="shared" si="2"/>
        <v>DHP - HZ1</v>
      </c>
    </row>
    <row r="101" spans="1:1">
      <c r="A101" s="85" t="str">
        <f t="shared" si="2"/>
        <v>DHP - HZ23</v>
      </c>
    </row>
    <row r="102" spans="1:1">
      <c r="A102" s="85" t="str">
        <f t="shared" si="2"/>
        <v>DHP - Region</v>
      </c>
    </row>
    <row r="103" spans="1:1">
      <c r="A103" s="85" t="str">
        <f t="shared" si="2"/>
        <v>Central AC - CZ1</v>
      </c>
    </row>
    <row r="104" spans="1:1">
      <c r="A104" s="85" t="str">
        <f t="shared" si="2"/>
        <v>Central AC - CZ23</v>
      </c>
    </row>
    <row r="105" spans="1:1">
      <c r="A105" s="85" t="str">
        <f t="shared" si="2"/>
        <v>Room A/C - CZ1</v>
      </c>
    </row>
    <row r="106" spans="1:1">
      <c r="A106" s="85" t="str">
        <f t="shared" si="2"/>
        <v>Room A/C - CZ23</v>
      </c>
    </row>
    <row r="107" spans="1:1">
      <c r="A107" s="85" t="str">
        <f t="shared" si="2"/>
        <v>Electric WH</v>
      </c>
    </row>
    <row r="108" spans="1:1">
      <c r="A108" s="86" t="s">
        <v>279</v>
      </c>
    </row>
    <row r="109" spans="1:1">
      <c r="A109" s="86" t="s">
        <v>280</v>
      </c>
    </row>
    <row r="110" spans="1:1">
      <c r="A110" s="86" t="str">
        <f>A49</f>
        <v>Refrigerator</v>
      </c>
    </row>
    <row r="111" spans="1:1">
      <c r="A111" s="86" t="str">
        <f t="shared" ref="A111:A128" si="3">A50</f>
        <v>Freezer</v>
      </c>
    </row>
    <row r="112" spans="1:1">
      <c r="A112" s="86" t="str">
        <f t="shared" si="3"/>
        <v>Clothes Washer</v>
      </c>
    </row>
    <row r="113" spans="1:1">
      <c r="A113" s="86" t="str">
        <f t="shared" si="3"/>
        <v>Clothes Dryer</v>
      </c>
    </row>
    <row r="114" spans="1:1">
      <c r="A114" s="86" t="str">
        <f t="shared" si="3"/>
        <v>Dishwasher</v>
      </c>
    </row>
    <row r="115" spans="1:1">
      <c r="A115" s="86" t="str">
        <f t="shared" si="3"/>
        <v>Microwave</v>
      </c>
    </row>
    <row r="116" spans="1:1">
      <c r="A116" s="86" t="str">
        <f t="shared" si="3"/>
        <v>Electric Oven</v>
      </c>
    </row>
    <row r="117" spans="1:1">
      <c r="A117" s="86" t="str">
        <f t="shared" si="3"/>
        <v>TV</v>
      </c>
    </row>
    <row r="118" spans="1:1">
      <c r="A118" s="86" t="str">
        <f t="shared" si="3"/>
        <v>Set top box</v>
      </c>
    </row>
    <row r="119" spans="1:1">
      <c r="A119" s="86" t="str">
        <f t="shared" si="3"/>
        <v>Computer</v>
      </c>
    </row>
    <row r="120" spans="1:1">
      <c r="A120" s="86" t="str">
        <f t="shared" si="3"/>
        <v>Monitor</v>
      </c>
    </row>
    <row r="121" spans="1:1">
      <c r="A121" s="86" t="str">
        <f t="shared" si="3"/>
        <v>EISA nx</v>
      </c>
    </row>
    <row r="122" spans="1:1">
      <c r="A122" s="86" t="str">
        <f t="shared" si="3"/>
        <v>EISA x</v>
      </c>
    </row>
    <row r="123" spans="1:1">
      <c r="A123" s="86" t="str">
        <f t="shared" si="3"/>
        <v>WallSqft</v>
      </c>
    </row>
    <row r="124" spans="1:1">
      <c r="A124" s="86" t="str">
        <f t="shared" si="3"/>
        <v>AtticSqft</v>
      </c>
    </row>
    <row r="125" spans="1:1">
      <c r="A125" s="86" t="str">
        <f t="shared" si="3"/>
        <v>FloorSqft</v>
      </c>
    </row>
    <row r="126" spans="1:1">
      <c r="A126" s="86" t="str">
        <f t="shared" si="3"/>
        <v>WindowSqft</v>
      </c>
    </row>
    <row r="127" spans="1:1">
      <c r="A127" s="86" t="str">
        <f t="shared" si="3"/>
        <v>HomeSqft</v>
      </c>
    </row>
    <row r="128" spans="1:1">
      <c r="A128" s="86" t="str">
        <f t="shared" si="3"/>
        <v>Lighting</v>
      </c>
    </row>
  </sheetData>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sheetPr codeName="Sheet9"/>
  <dimension ref="A1:I101"/>
  <sheetViews>
    <sheetView topLeftCell="G1" zoomScale="75" workbookViewId="0">
      <selection activeCell="I46" sqref="I46"/>
    </sheetView>
  </sheetViews>
  <sheetFormatPr defaultRowHeight="12.75"/>
  <cols>
    <col min="2" max="2" width="20.28515625" customWidth="1"/>
    <col min="3" max="3" width="16.5703125" customWidth="1"/>
    <col min="4" max="4" width="22.140625" customWidth="1"/>
    <col min="5" max="5" width="15.7109375" customWidth="1"/>
    <col min="6" max="6" width="13.28515625" customWidth="1"/>
    <col min="7" max="7" width="13.7109375" customWidth="1"/>
    <col min="8" max="8" width="80.5703125" customWidth="1"/>
    <col min="9" max="9" width="31.42578125" customWidth="1"/>
    <col min="11" max="11" width="10.7109375" customWidth="1"/>
    <col min="12" max="12" width="16.140625" customWidth="1"/>
    <col min="14" max="14" width="19.7109375" customWidth="1"/>
  </cols>
  <sheetData>
    <row r="1" spans="1:9" ht="13.5" thickBot="1">
      <c r="A1" t="s">
        <v>101</v>
      </c>
      <c r="B1" t="s">
        <v>102</v>
      </c>
      <c r="G1" s="115" t="s">
        <v>503</v>
      </c>
      <c r="H1" s="115" t="s">
        <v>504</v>
      </c>
      <c r="I1" s="115"/>
    </row>
    <row r="2" spans="1:9" ht="13.5" thickTop="1">
      <c r="G2" s="116" t="s">
        <v>331</v>
      </c>
      <c r="H2" s="116" t="s">
        <v>343</v>
      </c>
      <c r="I2" s="116" t="s">
        <v>505</v>
      </c>
    </row>
    <row r="3" spans="1:9">
      <c r="B3" s="15" t="s">
        <v>85</v>
      </c>
      <c r="C3" s="15" t="s">
        <v>86</v>
      </c>
      <c r="D3" s="15" t="s">
        <v>87</v>
      </c>
      <c r="E3" s="15" t="s">
        <v>88</v>
      </c>
      <c r="G3" s="116" t="s">
        <v>331</v>
      </c>
      <c r="H3" s="116" t="s">
        <v>506</v>
      </c>
      <c r="I3" s="116" t="s">
        <v>507</v>
      </c>
    </row>
    <row r="4" spans="1:9">
      <c r="B4" t="s">
        <v>89</v>
      </c>
      <c r="C4" t="s">
        <v>75</v>
      </c>
      <c r="D4" t="e">
        <f>#REF!</f>
        <v>#REF!</v>
      </c>
      <c r="E4" t="s">
        <v>75</v>
      </c>
      <c r="G4" s="116" t="s">
        <v>331</v>
      </c>
      <c r="H4" s="116" t="s">
        <v>506</v>
      </c>
      <c r="I4" s="116" t="s">
        <v>508</v>
      </c>
    </row>
    <row r="5" spans="1:9">
      <c r="B5" t="s">
        <v>90</v>
      </c>
      <c r="C5" t="s">
        <v>76</v>
      </c>
      <c r="D5" t="e">
        <f>#REF!</f>
        <v>#REF!</v>
      </c>
      <c r="E5" t="s">
        <v>76</v>
      </c>
      <c r="G5" s="116" t="s">
        <v>331</v>
      </c>
      <c r="H5" s="116" t="s">
        <v>509</v>
      </c>
      <c r="I5" s="116" t="s">
        <v>348</v>
      </c>
    </row>
    <row r="6" spans="1:9">
      <c r="B6" t="s">
        <v>67</v>
      </c>
      <c r="C6" t="s">
        <v>77</v>
      </c>
      <c r="D6" t="e">
        <f>#REF!</f>
        <v>#REF!</v>
      </c>
      <c r="E6" t="s">
        <v>77</v>
      </c>
      <c r="G6" s="116" t="s">
        <v>333</v>
      </c>
      <c r="H6" s="116" t="s">
        <v>129</v>
      </c>
      <c r="I6" s="116" t="s">
        <v>510</v>
      </c>
    </row>
    <row r="7" spans="1:9">
      <c r="B7" t="s">
        <v>70</v>
      </c>
      <c r="C7" t="s">
        <v>59</v>
      </c>
      <c r="D7" t="e">
        <f>#REF!</f>
        <v>#REF!</v>
      </c>
      <c r="E7" t="s">
        <v>59</v>
      </c>
      <c r="G7" s="116" t="s">
        <v>55</v>
      </c>
      <c r="H7" s="116" t="s">
        <v>330</v>
      </c>
      <c r="I7" s="116" t="s">
        <v>511</v>
      </c>
    </row>
    <row r="8" spans="1:9">
      <c r="B8" t="s">
        <v>91</v>
      </c>
      <c r="C8" t="s">
        <v>73</v>
      </c>
      <c r="D8" t="str">
        <f>B11</f>
        <v>Other</v>
      </c>
      <c r="E8" t="s">
        <v>73</v>
      </c>
      <c r="G8" s="116" t="s">
        <v>55</v>
      </c>
      <c r="H8" s="116" t="s">
        <v>330</v>
      </c>
      <c r="I8" s="116" t="s">
        <v>511</v>
      </c>
    </row>
    <row r="9" spans="1:9">
      <c r="B9" t="s">
        <v>92</v>
      </c>
      <c r="G9" s="116" t="s">
        <v>55</v>
      </c>
      <c r="H9" s="116" t="s">
        <v>330</v>
      </c>
      <c r="I9" s="116" t="s">
        <v>349</v>
      </c>
    </row>
    <row r="10" spans="1:9">
      <c r="B10" t="s">
        <v>66</v>
      </c>
      <c r="G10" s="116" t="s">
        <v>55</v>
      </c>
      <c r="H10" s="116" t="s">
        <v>330</v>
      </c>
      <c r="I10" s="116" t="s">
        <v>349</v>
      </c>
    </row>
    <row r="11" spans="1:9">
      <c r="B11" t="s">
        <v>73</v>
      </c>
      <c r="G11" s="116" t="s">
        <v>55</v>
      </c>
      <c r="H11" s="116" t="s">
        <v>330</v>
      </c>
      <c r="I11" s="116" t="s">
        <v>191</v>
      </c>
    </row>
    <row r="12" spans="1:9">
      <c r="G12" s="116" t="s">
        <v>55</v>
      </c>
      <c r="H12" s="116" t="s">
        <v>330</v>
      </c>
      <c r="I12" s="116" t="s">
        <v>191</v>
      </c>
    </row>
    <row r="13" spans="1:9">
      <c r="C13" s="12"/>
      <c r="D13" s="113" t="s">
        <v>14</v>
      </c>
      <c r="E13" s="114"/>
      <c r="F13" s="114"/>
      <c r="G13" s="116" t="s">
        <v>55</v>
      </c>
      <c r="H13" s="116" t="s">
        <v>339</v>
      </c>
      <c r="I13" s="116" t="s">
        <v>353</v>
      </c>
    </row>
    <row r="14" spans="1:9">
      <c r="C14" s="5" t="s">
        <v>86</v>
      </c>
      <c r="D14" s="5" t="s">
        <v>15</v>
      </c>
      <c r="E14" s="5" t="s">
        <v>16</v>
      </c>
      <c r="F14" s="5" t="s">
        <v>17</v>
      </c>
      <c r="G14" s="116" t="s">
        <v>55</v>
      </c>
      <c r="H14" s="116" t="s">
        <v>329</v>
      </c>
      <c r="I14" s="116" t="s">
        <v>512</v>
      </c>
    </row>
    <row r="15" spans="1:9">
      <c r="C15" t="s">
        <v>75</v>
      </c>
      <c r="D15" t="s">
        <v>58</v>
      </c>
      <c r="E15" s="1" t="s">
        <v>18</v>
      </c>
      <c r="F15" s="1" t="s">
        <v>19</v>
      </c>
      <c r="G15" s="116" t="s">
        <v>55</v>
      </c>
      <c r="H15" s="116" t="s">
        <v>329</v>
      </c>
      <c r="I15" s="116" t="s">
        <v>513</v>
      </c>
    </row>
    <row r="16" spans="1:9">
      <c r="C16" t="s">
        <v>76</v>
      </c>
      <c r="D16" t="s">
        <v>58</v>
      </c>
      <c r="E16" s="1" t="s">
        <v>20</v>
      </c>
      <c r="F16" s="1" t="s">
        <v>19</v>
      </c>
      <c r="G16" s="116" t="s">
        <v>55</v>
      </c>
      <c r="H16" s="116" t="s">
        <v>329</v>
      </c>
      <c r="I16" s="116" t="s">
        <v>513</v>
      </c>
    </row>
    <row r="17" spans="3:9">
      <c r="C17" t="s">
        <v>77</v>
      </c>
      <c r="D17" t="s">
        <v>58</v>
      </c>
      <c r="E17" s="1" t="s">
        <v>21</v>
      </c>
      <c r="F17" s="1" t="s">
        <v>19</v>
      </c>
      <c r="G17" s="116" t="s">
        <v>55</v>
      </c>
      <c r="H17" s="116" t="s">
        <v>329</v>
      </c>
      <c r="I17" s="116" t="s">
        <v>514</v>
      </c>
    </row>
    <row r="18" spans="3:9">
      <c r="C18" t="s">
        <v>59</v>
      </c>
      <c r="D18" t="s">
        <v>63</v>
      </c>
      <c r="E18" s="1" t="s">
        <v>22</v>
      </c>
      <c r="F18" s="1">
        <v>1</v>
      </c>
      <c r="G18" s="116" t="s">
        <v>55</v>
      </c>
      <c r="H18" s="116" t="s">
        <v>329</v>
      </c>
      <c r="I18" s="116" t="s">
        <v>514</v>
      </c>
    </row>
    <row r="19" spans="3:9">
      <c r="C19" t="s">
        <v>60</v>
      </c>
      <c r="D19" t="s">
        <v>63</v>
      </c>
      <c r="E19" s="1" t="s">
        <v>23</v>
      </c>
      <c r="F19" s="1">
        <v>1</v>
      </c>
      <c r="G19" s="116" t="s">
        <v>55</v>
      </c>
      <c r="H19" s="116" t="s">
        <v>329</v>
      </c>
      <c r="I19" s="116" t="s">
        <v>439</v>
      </c>
    </row>
    <row r="20" spans="3:9">
      <c r="C20" t="s">
        <v>61</v>
      </c>
      <c r="D20" t="s">
        <v>63</v>
      </c>
      <c r="E20" s="1" t="s">
        <v>21</v>
      </c>
      <c r="F20" s="1">
        <v>1</v>
      </c>
      <c r="G20" s="116" t="s">
        <v>55</v>
      </c>
      <c r="H20" s="116" t="s">
        <v>329</v>
      </c>
      <c r="I20" s="116" t="s">
        <v>357</v>
      </c>
    </row>
    <row r="21" spans="3:9">
      <c r="C21" t="s">
        <v>62</v>
      </c>
      <c r="D21" t="s">
        <v>63</v>
      </c>
      <c r="E21" s="1" t="s">
        <v>22</v>
      </c>
      <c r="F21" s="1" t="s">
        <v>24</v>
      </c>
      <c r="G21" s="116" t="s">
        <v>55</v>
      </c>
      <c r="H21" s="116" t="s">
        <v>329</v>
      </c>
      <c r="I21" s="116" t="s">
        <v>515</v>
      </c>
    </row>
    <row r="22" spans="3:9">
      <c r="C22" t="s">
        <v>65</v>
      </c>
      <c r="D22" t="s">
        <v>64</v>
      </c>
      <c r="E22" s="1" t="s">
        <v>19</v>
      </c>
      <c r="F22" s="1" t="s">
        <v>19</v>
      </c>
      <c r="G22" s="116" t="s">
        <v>55</v>
      </c>
      <c r="H22" s="116" t="s">
        <v>516</v>
      </c>
      <c r="I22" s="116" t="s">
        <v>517</v>
      </c>
    </row>
    <row r="23" spans="3:9">
      <c r="C23" t="s">
        <v>74</v>
      </c>
      <c r="D23" t="s">
        <v>64</v>
      </c>
      <c r="E23" s="1" t="s">
        <v>19</v>
      </c>
      <c r="F23" s="1" t="s">
        <v>19</v>
      </c>
      <c r="G23" s="116" t="s">
        <v>55</v>
      </c>
      <c r="H23" s="116" t="s">
        <v>516</v>
      </c>
      <c r="I23" s="116" t="s">
        <v>517</v>
      </c>
    </row>
    <row r="24" spans="3:9">
      <c r="C24" t="s">
        <v>66</v>
      </c>
      <c r="D24" t="s">
        <v>66</v>
      </c>
      <c r="E24" s="1" t="s">
        <v>19</v>
      </c>
      <c r="F24" s="1" t="s">
        <v>19</v>
      </c>
      <c r="G24" s="116" t="s">
        <v>55</v>
      </c>
      <c r="H24" s="116" t="s">
        <v>329</v>
      </c>
      <c r="I24" s="116" t="s">
        <v>518</v>
      </c>
    </row>
    <row r="25" spans="3:9">
      <c r="C25" t="s">
        <v>78</v>
      </c>
      <c r="D25" t="s">
        <v>25</v>
      </c>
      <c r="E25" s="1" t="s">
        <v>26</v>
      </c>
      <c r="F25" s="1" t="s">
        <v>19</v>
      </c>
      <c r="G25" s="116" t="s">
        <v>55</v>
      </c>
      <c r="H25" s="116" t="s">
        <v>329</v>
      </c>
      <c r="I25" s="116" t="s">
        <v>518</v>
      </c>
    </row>
    <row r="26" spans="3:9">
      <c r="C26" t="s">
        <v>72</v>
      </c>
      <c r="D26" t="s">
        <v>25</v>
      </c>
      <c r="E26" s="1" t="s">
        <v>27</v>
      </c>
      <c r="F26" s="1" t="s">
        <v>19</v>
      </c>
      <c r="G26" s="116" t="s">
        <v>55</v>
      </c>
      <c r="H26" s="116" t="s">
        <v>329</v>
      </c>
      <c r="I26" s="116" t="s">
        <v>519</v>
      </c>
    </row>
    <row r="27" spans="3:9">
      <c r="C27" t="s">
        <v>68</v>
      </c>
      <c r="D27" t="s">
        <v>25</v>
      </c>
      <c r="E27" s="1" t="s">
        <v>19</v>
      </c>
      <c r="F27" s="1" t="s">
        <v>19</v>
      </c>
      <c r="G27" s="116" t="s">
        <v>55</v>
      </c>
      <c r="H27" s="116" t="s">
        <v>329</v>
      </c>
      <c r="I27" s="116" t="s">
        <v>519</v>
      </c>
    </row>
    <row r="28" spans="3:9">
      <c r="C28" t="s">
        <v>69</v>
      </c>
      <c r="D28" t="s">
        <v>69</v>
      </c>
      <c r="E28" s="1" t="s">
        <v>19</v>
      </c>
      <c r="F28" s="1" t="s">
        <v>19</v>
      </c>
      <c r="G28" s="116" t="s">
        <v>55</v>
      </c>
      <c r="H28" s="116" t="s">
        <v>329</v>
      </c>
      <c r="I28" s="116" t="s">
        <v>520</v>
      </c>
    </row>
    <row r="29" spans="3:9">
      <c r="C29" t="s">
        <v>70</v>
      </c>
      <c r="D29" t="s">
        <v>28</v>
      </c>
      <c r="E29" s="1" t="s">
        <v>19</v>
      </c>
      <c r="F29" s="1" t="s">
        <v>19</v>
      </c>
      <c r="G29" s="116" t="s">
        <v>55</v>
      </c>
      <c r="H29" s="116" t="s">
        <v>516</v>
      </c>
      <c r="I29" s="116" t="s">
        <v>521</v>
      </c>
    </row>
    <row r="30" spans="3:9">
      <c r="C30" t="s">
        <v>71</v>
      </c>
      <c r="D30" t="s">
        <v>28</v>
      </c>
      <c r="E30" s="1" t="s">
        <v>19</v>
      </c>
      <c r="F30" s="1" t="s">
        <v>19</v>
      </c>
      <c r="G30" s="116" t="s">
        <v>55</v>
      </c>
      <c r="H30" s="116" t="s">
        <v>516</v>
      </c>
      <c r="I30" s="116" t="s">
        <v>522</v>
      </c>
    </row>
    <row r="31" spans="3:9">
      <c r="C31" t="s">
        <v>73</v>
      </c>
      <c r="D31" t="s">
        <v>73</v>
      </c>
      <c r="E31" s="1" t="s">
        <v>19</v>
      </c>
      <c r="F31" s="1" t="s">
        <v>19</v>
      </c>
      <c r="G31" s="116" t="s">
        <v>55</v>
      </c>
      <c r="H31" s="116" t="s">
        <v>329</v>
      </c>
      <c r="I31" s="116" t="s">
        <v>358</v>
      </c>
    </row>
    <row r="32" spans="3:9">
      <c r="G32" s="116" t="s">
        <v>55</v>
      </c>
      <c r="H32" s="116" t="s">
        <v>516</v>
      </c>
      <c r="I32" s="116" t="s">
        <v>523</v>
      </c>
    </row>
    <row r="33" spans="7:9">
      <c r="G33" s="116" t="s">
        <v>55</v>
      </c>
      <c r="H33" s="116" t="s">
        <v>516</v>
      </c>
      <c r="I33" s="116" t="s">
        <v>523</v>
      </c>
    </row>
    <row r="34" spans="7:9">
      <c r="G34" s="116" t="s">
        <v>126</v>
      </c>
      <c r="H34" s="116" t="s">
        <v>332</v>
      </c>
      <c r="I34" s="116" t="s">
        <v>524</v>
      </c>
    </row>
    <row r="35" spans="7:9">
      <c r="G35" s="116" t="s">
        <v>126</v>
      </c>
      <c r="H35" s="116" t="s">
        <v>332</v>
      </c>
      <c r="I35" s="116" t="s">
        <v>359</v>
      </c>
    </row>
    <row r="36" spans="7:9">
      <c r="G36" s="116" t="s">
        <v>126</v>
      </c>
      <c r="H36" s="116" t="s">
        <v>156</v>
      </c>
      <c r="I36" s="116" t="s">
        <v>156</v>
      </c>
    </row>
    <row r="37" spans="7:9">
      <c r="G37" s="116" t="s">
        <v>127</v>
      </c>
      <c r="H37" s="116" t="s">
        <v>336</v>
      </c>
      <c r="I37" s="116" t="s">
        <v>525</v>
      </c>
    </row>
    <row r="38" spans="7:9">
      <c r="G38" s="116" t="s">
        <v>127</v>
      </c>
      <c r="H38" s="116" t="s">
        <v>336</v>
      </c>
      <c r="I38" s="116" t="s">
        <v>336</v>
      </c>
    </row>
    <row r="39" spans="7:9">
      <c r="G39" s="116" t="s">
        <v>127</v>
      </c>
      <c r="H39" s="116" t="s">
        <v>337</v>
      </c>
      <c r="I39" s="116" t="s">
        <v>526</v>
      </c>
    </row>
    <row r="40" spans="7:9">
      <c r="G40" s="116" t="s">
        <v>127</v>
      </c>
      <c r="H40" s="116" t="s">
        <v>337</v>
      </c>
      <c r="I40" s="116" t="s">
        <v>337</v>
      </c>
    </row>
    <row r="41" spans="7:9">
      <c r="G41" s="116" t="s">
        <v>184</v>
      </c>
      <c r="H41" s="116" t="s">
        <v>339</v>
      </c>
      <c r="I41" s="116" t="s">
        <v>527</v>
      </c>
    </row>
    <row r="42" spans="7:9">
      <c r="G42" s="116" t="s">
        <v>184</v>
      </c>
      <c r="H42" s="116" t="s">
        <v>340</v>
      </c>
      <c r="I42" s="116" t="s">
        <v>340</v>
      </c>
    </row>
    <row r="43" spans="7:9">
      <c r="G43" s="116" t="s">
        <v>184</v>
      </c>
      <c r="H43" s="116" t="s">
        <v>338</v>
      </c>
      <c r="I43" s="116" t="s">
        <v>361</v>
      </c>
    </row>
    <row r="44" spans="7:9">
      <c r="G44" s="116" t="s">
        <v>184</v>
      </c>
      <c r="H44" s="116" t="s">
        <v>338</v>
      </c>
      <c r="I44" s="116" t="s">
        <v>338</v>
      </c>
    </row>
    <row r="45" spans="7:9">
      <c r="G45" s="116" t="s">
        <v>184</v>
      </c>
      <c r="H45" s="116" t="s">
        <v>334</v>
      </c>
      <c r="I45" s="116" t="s">
        <v>364</v>
      </c>
    </row>
    <row r="46" spans="7:9">
      <c r="G46" s="116" t="s">
        <v>184</v>
      </c>
      <c r="H46" s="116" t="s">
        <v>334</v>
      </c>
      <c r="I46" s="116" t="s">
        <v>363</v>
      </c>
    </row>
    <row r="47" spans="7:9">
      <c r="G47" s="116" t="s">
        <v>184</v>
      </c>
      <c r="H47" s="116" t="s">
        <v>334</v>
      </c>
      <c r="I47" s="116" t="s">
        <v>365</v>
      </c>
    </row>
    <row r="48" spans="7:9">
      <c r="G48" s="116" t="s">
        <v>341</v>
      </c>
      <c r="H48" s="116" t="s">
        <v>528</v>
      </c>
      <c r="I48" s="116" t="s">
        <v>529</v>
      </c>
    </row>
    <row r="49" spans="7:9">
      <c r="G49" s="116" t="s">
        <v>341</v>
      </c>
      <c r="H49" s="116" t="s">
        <v>528</v>
      </c>
      <c r="I49" s="116" t="s">
        <v>530</v>
      </c>
    </row>
    <row r="50" spans="7:9">
      <c r="G50" s="116" t="s">
        <v>341</v>
      </c>
      <c r="H50" s="116" t="s">
        <v>528</v>
      </c>
      <c r="I50" s="116" t="s">
        <v>531</v>
      </c>
    </row>
    <row r="51" spans="7:9">
      <c r="G51" s="116" t="s">
        <v>341</v>
      </c>
      <c r="H51" s="116" t="s">
        <v>528</v>
      </c>
      <c r="I51" s="116" t="s">
        <v>532</v>
      </c>
    </row>
    <row r="52" spans="7:9">
      <c r="G52" s="116" t="s">
        <v>341</v>
      </c>
      <c r="H52" s="116" t="s">
        <v>528</v>
      </c>
      <c r="I52" s="116" t="s">
        <v>533</v>
      </c>
    </row>
    <row r="53" spans="7:9">
      <c r="G53" s="116" t="s">
        <v>341</v>
      </c>
      <c r="H53" s="116" t="s">
        <v>342</v>
      </c>
      <c r="I53" s="116" t="s">
        <v>367</v>
      </c>
    </row>
    <row r="57" spans="7:9">
      <c r="G57" t="s">
        <v>534</v>
      </c>
    </row>
    <row r="58" spans="7:9" ht="13.5" thickBot="1">
      <c r="G58" s="115" t="s">
        <v>503</v>
      </c>
      <c r="H58" s="115" t="s">
        <v>504</v>
      </c>
      <c r="I58" s="115"/>
    </row>
    <row r="59" spans="7:9" ht="13.5" thickTop="1">
      <c r="G59" s="116" t="s">
        <v>331</v>
      </c>
      <c r="H59" s="116" t="s">
        <v>343</v>
      </c>
      <c r="I59" s="116"/>
    </row>
    <row r="60" spans="7:9">
      <c r="G60" s="116" t="s">
        <v>333</v>
      </c>
      <c r="H60" s="116" t="s">
        <v>506</v>
      </c>
      <c r="I60" s="116"/>
    </row>
    <row r="61" spans="7:9">
      <c r="G61" s="116" t="s">
        <v>55</v>
      </c>
      <c r="H61" s="116" t="s">
        <v>509</v>
      </c>
      <c r="I61" s="116"/>
    </row>
    <row r="62" spans="7:9">
      <c r="G62" s="116" t="s">
        <v>126</v>
      </c>
      <c r="H62" s="116" t="s">
        <v>129</v>
      </c>
      <c r="I62" s="116"/>
    </row>
    <row r="63" spans="7:9">
      <c r="G63" s="116" t="s">
        <v>127</v>
      </c>
      <c r="H63" s="116" t="s">
        <v>330</v>
      </c>
      <c r="I63" s="116"/>
    </row>
    <row r="64" spans="7:9">
      <c r="G64" s="116" t="s">
        <v>184</v>
      </c>
      <c r="H64" s="116" t="s">
        <v>339</v>
      </c>
      <c r="I64" s="116"/>
    </row>
    <row r="65" spans="7:9">
      <c r="G65" s="116" t="s">
        <v>341</v>
      </c>
      <c r="H65" s="116" t="s">
        <v>329</v>
      </c>
      <c r="I65" s="116"/>
    </row>
    <row r="66" spans="7:9">
      <c r="H66" s="116" t="s">
        <v>332</v>
      </c>
      <c r="I66" s="116"/>
    </row>
    <row r="67" spans="7:9">
      <c r="H67" s="116" t="s">
        <v>156</v>
      </c>
      <c r="I67" s="116"/>
    </row>
    <row r="68" spans="7:9">
      <c r="H68" s="116" t="s">
        <v>336</v>
      </c>
      <c r="I68" s="116"/>
    </row>
    <row r="69" spans="7:9">
      <c r="H69" s="116" t="s">
        <v>337</v>
      </c>
      <c r="I69" s="116"/>
    </row>
    <row r="70" spans="7:9">
      <c r="H70" s="116" t="s">
        <v>340</v>
      </c>
      <c r="I70" s="116"/>
    </row>
    <row r="71" spans="7:9">
      <c r="H71" s="116" t="s">
        <v>338</v>
      </c>
      <c r="I71" s="116"/>
    </row>
    <row r="72" spans="7:9">
      <c r="H72" s="116" t="s">
        <v>334</v>
      </c>
      <c r="I72" s="116"/>
    </row>
    <row r="73" spans="7:9">
      <c r="H73" s="116" t="s">
        <v>528</v>
      </c>
      <c r="I73" s="116"/>
    </row>
    <row r="74" spans="7:9">
      <c r="H74" s="116" t="s">
        <v>342</v>
      </c>
      <c r="I74" s="116"/>
    </row>
    <row r="75" spans="7:9">
      <c r="I75" s="116"/>
    </row>
    <row r="76" spans="7:9">
      <c r="I76" s="116"/>
    </row>
    <row r="77" spans="7:9">
      <c r="I77" s="116"/>
    </row>
    <row r="78" spans="7:9">
      <c r="I78" s="116"/>
    </row>
    <row r="79" spans="7:9">
      <c r="I79" s="116"/>
    </row>
    <row r="80" spans="7:9">
      <c r="I80" s="116"/>
    </row>
    <row r="81" spans="9:9">
      <c r="I81" s="116"/>
    </row>
    <row r="82" spans="9:9">
      <c r="I82" s="116"/>
    </row>
    <row r="83" spans="9:9">
      <c r="I83" s="116"/>
    </row>
    <row r="84" spans="9:9">
      <c r="I84" s="116"/>
    </row>
    <row r="85" spans="9:9">
      <c r="I85" s="116"/>
    </row>
    <row r="86" spans="9:9">
      <c r="I86" s="116"/>
    </row>
    <row r="87" spans="9:9">
      <c r="I87" s="116"/>
    </row>
    <row r="88" spans="9:9">
      <c r="I88" s="116"/>
    </row>
    <row r="89" spans="9:9">
      <c r="I89" s="116"/>
    </row>
    <row r="90" spans="9:9">
      <c r="I90" s="116"/>
    </row>
    <row r="91" spans="9:9">
      <c r="I91" s="116"/>
    </row>
    <row r="92" spans="9:9">
      <c r="I92" s="116"/>
    </row>
    <row r="93" spans="9:9">
      <c r="I93" s="116"/>
    </row>
    <row r="94" spans="9:9">
      <c r="I94" s="116"/>
    </row>
    <row r="95" spans="9:9">
      <c r="I95" s="116"/>
    </row>
    <row r="96" spans="9:9">
      <c r="I96" s="116"/>
    </row>
    <row r="97" spans="9:9">
      <c r="I97" s="116"/>
    </row>
    <row r="98" spans="9:9">
      <c r="I98" s="116"/>
    </row>
    <row r="99" spans="9:9">
      <c r="I99" s="116"/>
    </row>
    <row r="100" spans="9:9">
      <c r="I100" s="116"/>
    </row>
    <row r="101" spans="9:9">
      <c r="I101" s="116"/>
    </row>
  </sheetData>
  <phoneticPr fontId="0"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sheetPr codeName="Sheet10"/>
  <dimension ref="A1:E13"/>
  <sheetViews>
    <sheetView zoomScale="75" workbookViewId="0">
      <selection activeCell="E55" sqref="E55"/>
    </sheetView>
  </sheetViews>
  <sheetFormatPr defaultRowHeight="12.75"/>
  <cols>
    <col min="3" max="3" width="21.28515625" bestFit="1" customWidth="1"/>
    <col min="4" max="4" width="53" customWidth="1"/>
    <col min="5" max="5" width="44.140625" customWidth="1"/>
  </cols>
  <sheetData>
    <row r="1" spans="1:5">
      <c r="A1" t="s">
        <v>103</v>
      </c>
      <c r="B1" t="s">
        <v>422</v>
      </c>
    </row>
    <row r="3" spans="1:5">
      <c r="C3" s="15" t="s">
        <v>423</v>
      </c>
      <c r="D3" s="15" t="s">
        <v>93</v>
      </c>
      <c r="E3" s="15" t="s">
        <v>96</v>
      </c>
    </row>
    <row r="4" spans="1:5">
      <c r="C4" t="s">
        <v>428</v>
      </c>
    </row>
    <row r="5" spans="1:5">
      <c r="C5" t="s">
        <v>429</v>
      </c>
    </row>
    <row r="6" spans="1:5">
      <c r="C6" t="s">
        <v>426</v>
      </c>
      <c r="D6" s="24" t="s">
        <v>434</v>
      </c>
      <c r="E6" t="s">
        <v>435</v>
      </c>
    </row>
    <row r="7" spans="1:5">
      <c r="C7" t="s">
        <v>427</v>
      </c>
    </row>
    <row r="8" spans="1:5">
      <c r="C8" t="s">
        <v>430</v>
      </c>
    </row>
    <row r="9" spans="1:5">
      <c r="C9" t="s">
        <v>431</v>
      </c>
    </row>
    <row r="10" spans="1:5">
      <c r="C10" t="s">
        <v>424</v>
      </c>
    </row>
    <row r="11" spans="1:5">
      <c r="C11" t="s">
        <v>425</v>
      </c>
    </row>
    <row r="12" spans="1:5">
      <c r="C12" t="s">
        <v>432</v>
      </c>
    </row>
    <row r="13" spans="1:5">
      <c r="C13" t="s">
        <v>433</v>
      </c>
    </row>
  </sheetData>
  <phoneticPr fontId="0" type="noConversion"/>
  <hyperlinks>
    <hyperlink ref="D6" r:id="rId1"/>
  </hyperlink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sheetPr codeName="Sheet11"/>
  <dimension ref="A1:G106"/>
  <sheetViews>
    <sheetView zoomScale="94" zoomScaleNormal="56" workbookViewId="0">
      <pane ySplit="4" topLeftCell="A26" activePane="bottomLeft" state="frozen"/>
      <selection pane="bottomLeft" activeCell="M71" sqref="M71"/>
    </sheetView>
  </sheetViews>
  <sheetFormatPr defaultRowHeight="12.75"/>
  <cols>
    <col min="2" max="2" width="43" customWidth="1"/>
  </cols>
  <sheetData>
    <row r="1" spans="1:7">
      <c r="A1" t="s">
        <v>163</v>
      </c>
      <c r="B1" s="25" t="s">
        <v>165</v>
      </c>
      <c r="C1" s="20"/>
      <c r="D1" s="20"/>
      <c r="E1" s="20"/>
      <c r="F1" s="20"/>
    </row>
    <row r="2" spans="1:7">
      <c r="B2" s="25" t="s">
        <v>164</v>
      </c>
      <c r="C2" s="20"/>
      <c r="D2" s="20"/>
      <c r="E2" s="20"/>
      <c r="F2" s="20"/>
    </row>
    <row r="3" spans="1:7">
      <c r="A3" s="17" t="str">
        <f>SATS!A9</f>
        <v>Existing</v>
      </c>
    </row>
    <row r="4" spans="1:7">
      <c r="A4" s="3" t="str">
        <f>SATS!C9</f>
        <v>BLDGTYPE</v>
      </c>
      <c r="B4" s="18" t="str">
        <f>SATS!B10</f>
        <v>Vars</v>
      </c>
      <c r="C4" s="11" t="str">
        <f>SATS!C10</f>
        <v>Single Family</v>
      </c>
      <c r="D4" s="11" t="str">
        <f>SATS!D10</f>
        <v>Multifamily - Low Rise</v>
      </c>
      <c r="E4" s="11" t="str">
        <f>SATS!E10</f>
        <v>Multifamily - High Rise</v>
      </c>
      <c r="F4" s="11" t="str">
        <f>SATS!F10</f>
        <v>Manufactured</v>
      </c>
      <c r="G4" s="34" t="e">
        <f>SATS!#REF!</f>
        <v>#REF!</v>
      </c>
    </row>
    <row r="5" spans="1:7">
      <c r="B5" s="33" t="str">
        <f>SATS!B12</f>
        <v>Electric FAF - HZ1CZ23</v>
      </c>
    </row>
    <row r="6" spans="1:7">
      <c r="B6" s="33" t="str">
        <f>SATS!B13</f>
        <v>Electric FAF - HZ23CZ1</v>
      </c>
    </row>
    <row r="7" spans="1:7">
      <c r="B7" s="33" t="str">
        <f>SATS!B14</f>
        <v>Electric FAF - HZ23CZ23</v>
      </c>
    </row>
    <row r="8" spans="1:7">
      <c r="B8" s="33" t="str">
        <f>SATS!B15</f>
        <v>Electric FAF - HZ1</v>
      </c>
    </row>
    <row r="9" spans="1:7">
      <c r="B9" s="33" t="str">
        <f>SATS!B16</f>
        <v>Electric FAF - HZ23</v>
      </c>
    </row>
    <row r="10" spans="1:7">
      <c r="B10" s="33" t="str">
        <f>SATS!B17</f>
        <v>Electric FAF - Region</v>
      </c>
    </row>
    <row r="11" spans="1:7">
      <c r="B11" s="33" t="str">
        <f>SATS!B18</f>
        <v>Electric FAF w/ CAC - HZ1CZ1</v>
      </c>
    </row>
    <row r="12" spans="1:7">
      <c r="B12" s="33" t="str">
        <f>SATS!B19</f>
        <v>Electric FAF w/ CAC - HZ1CZ23</v>
      </c>
    </row>
    <row r="13" spans="1:7">
      <c r="B13" s="33" t="str">
        <f>SATS!B20</f>
        <v>Electric FAF w/ CAC - HZ23CZ1</v>
      </c>
    </row>
    <row r="14" spans="1:7">
      <c r="B14" s="33" t="str">
        <f>SATS!B21</f>
        <v>Electric FAF w/ CAC - HZ23CZ23</v>
      </c>
    </row>
    <row r="15" spans="1:7">
      <c r="A15" s="19"/>
      <c r="B15" s="33" t="str">
        <f>SATS!B22</f>
        <v>Heat Pump - HZ1CZ1</v>
      </c>
    </row>
    <row r="16" spans="1:7">
      <c r="B16" s="33" t="str">
        <f>SATS!B23</f>
        <v>Heat Pump - HZ1CZ23</v>
      </c>
    </row>
    <row r="17" spans="1:2">
      <c r="B17" s="33" t="str">
        <f>SATS!B24</f>
        <v>Heat Pump - HZ23CZ1</v>
      </c>
    </row>
    <row r="18" spans="1:2">
      <c r="B18" s="33" t="str">
        <f>SATS!B25</f>
        <v>Heat Pump - HZ23CZ23</v>
      </c>
    </row>
    <row r="19" spans="1:2">
      <c r="B19" s="33" t="str">
        <f>SATS!B26</f>
        <v>Heat Pump - HZ1</v>
      </c>
    </row>
    <row r="20" spans="1:2">
      <c r="B20" s="33" t="str">
        <f>SATS!B27</f>
        <v>Heat Pump - HZ23</v>
      </c>
    </row>
    <row r="21" spans="1:2">
      <c r="B21" s="33" t="str">
        <f>SATS!B28</f>
        <v>Heat Pump - Region</v>
      </c>
    </row>
    <row r="22" spans="1:2">
      <c r="B22" s="33" t="str">
        <f>SATS!B29</f>
        <v>Electric Zonal - HZ1CZ1</v>
      </c>
    </row>
    <row r="23" spans="1:2">
      <c r="B23" s="33" t="str">
        <f>SATS!B30</f>
        <v>Electric Zonal - HZ1CZ23</v>
      </c>
    </row>
    <row r="24" spans="1:2">
      <c r="A24" s="39"/>
      <c r="B24" s="33" t="str">
        <f>SATS!B31</f>
        <v>Electric Zonal - HZ23CZ1</v>
      </c>
    </row>
    <row r="25" spans="1:2">
      <c r="A25" s="39"/>
      <c r="B25" s="33" t="str">
        <f>SATS!B32</f>
        <v>Electric Zonal - HZ23CZ23</v>
      </c>
    </row>
    <row r="26" spans="1:2">
      <c r="A26" s="39"/>
      <c r="B26" s="33" t="str">
        <f>SATS!B33</f>
        <v>Electric Zonal - HZ1</v>
      </c>
    </row>
    <row r="27" spans="1:2">
      <c r="A27" s="39"/>
      <c r="B27" s="33" t="str">
        <f>SATS!B34</f>
        <v>Electric Zonal - HZ23</v>
      </c>
    </row>
    <row r="28" spans="1:2">
      <c r="A28" s="39"/>
      <c r="B28" s="33" t="str">
        <f>SATS!B35</f>
        <v>Electric Zonal - Region</v>
      </c>
    </row>
    <row r="29" spans="1:2">
      <c r="A29" s="39"/>
      <c r="B29" s="33" t="str">
        <f>SATS!B36</f>
        <v>DHP - HZ1CZ1</v>
      </c>
    </row>
    <row r="30" spans="1:2">
      <c r="A30" s="39"/>
      <c r="B30" s="33" t="str">
        <f>SATS!B37</f>
        <v>DHP - HZ1CZ23</v>
      </c>
    </row>
    <row r="31" spans="1:2">
      <c r="B31" s="33" t="str">
        <f>SATS!B38</f>
        <v>DHP - HZ23CZ1</v>
      </c>
    </row>
    <row r="32" spans="1:2">
      <c r="A32" s="39"/>
      <c r="B32" s="33" t="str">
        <f>SATS!B39</f>
        <v>DHP - HZ23CZ23</v>
      </c>
    </row>
    <row r="33" spans="1:2">
      <c r="A33" s="39"/>
      <c r="B33" s="33" t="str">
        <f>SATS!B40</f>
        <v>DHP - HZ1</v>
      </c>
    </row>
    <row r="34" spans="1:2">
      <c r="A34" s="39"/>
      <c r="B34" s="33" t="str">
        <f>SATS!B41</f>
        <v>DHP - HZ23</v>
      </c>
    </row>
    <row r="35" spans="1:2">
      <c r="A35" s="19"/>
      <c r="B35" s="33" t="str">
        <f>SATS!B42</f>
        <v>DHP - Region</v>
      </c>
    </row>
    <row r="36" spans="1:2">
      <c r="B36" s="33" t="str">
        <f>SATS!B43</f>
        <v>Central AC - CZ1</v>
      </c>
    </row>
    <row r="37" spans="1:2">
      <c r="B37" s="33" t="str">
        <f>SATS!B44</f>
        <v>Central AC - CZ23</v>
      </c>
    </row>
    <row r="38" spans="1:2">
      <c r="A38" s="39"/>
      <c r="B38" s="33" t="str">
        <f>SATS!B45</f>
        <v>Room A/C - CZ1</v>
      </c>
    </row>
    <row r="39" spans="1:2">
      <c r="A39" s="39"/>
      <c r="B39" s="33" t="str">
        <f>SATS!B46</f>
        <v>Room A/C - CZ23</v>
      </c>
    </row>
    <row r="40" spans="1:2">
      <c r="A40" s="39"/>
      <c r="B40" s="33" t="str">
        <f>SATS!B48</f>
        <v>DWH &lt;55 inside</v>
      </c>
    </row>
    <row r="41" spans="1:2">
      <c r="A41" s="39"/>
      <c r="B41" s="33" t="str">
        <f>SATS!B49</f>
        <v>DHW &lt;55 outside buffer</v>
      </c>
    </row>
    <row r="42" spans="1:2">
      <c r="B42" s="33" t="str">
        <f>SATS!B50</f>
        <v>DHW &lt; 55 outside unbuffer</v>
      </c>
    </row>
    <row r="43" spans="1:2">
      <c r="A43" s="39"/>
      <c r="B43" s="33" t="str">
        <f>SATS!B51</f>
        <v>DHW &gt;55 inside</v>
      </c>
    </row>
    <row r="44" spans="1:2">
      <c r="A44" s="39"/>
      <c r="B44" s="33" t="str">
        <f>SATS!B52</f>
        <v>DHW &gt;55 outside buffer</v>
      </c>
    </row>
    <row r="45" spans="1:2">
      <c r="B45" s="33" t="str">
        <f>SATS!B53</f>
        <v>DHW &gt;55 outside unbuffer</v>
      </c>
    </row>
    <row r="46" spans="1:2">
      <c r="A46" s="39"/>
      <c r="B46" s="33" t="str">
        <f>SATS!B54</f>
        <v>Refrigerator</v>
      </c>
    </row>
    <row r="47" spans="1:2">
      <c r="A47" s="39"/>
      <c r="B47" s="33" t="str">
        <f>SATS!B55</f>
        <v>Freezer</v>
      </c>
    </row>
    <row r="48" spans="1:2">
      <c r="A48" s="39"/>
      <c r="B48" s="33" t="str">
        <f>SATS!B56</f>
        <v>Clothes Washer</v>
      </c>
    </row>
    <row r="49" spans="1:2">
      <c r="A49" s="39"/>
      <c r="B49" s="33" t="str">
        <f>SATS!B57</f>
        <v>Clothes Dryer</v>
      </c>
    </row>
    <row r="50" spans="1:2">
      <c r="A50" s="39"/>
      <c r="B50" s="33" t="str">
        <f>SATS!B58</f>
        <v>Dishwasher</v>
      </c>
    </row>
    <row r="51" spans="1:2">
      <c r="A51" s="39"/>
      <c r="B51" s="33" t="str">
        <f>SATS!B59</f>
        <v>Microwave</v>
      </c>
    </row>
    <row r="52" spans="1:2">
      <c r="A52" s="39"/>
      <c r="B52" s="33" t="str">
        <f>SATS!B60</f>
        <v>Electric Oven</v>
      </c>
    </row>
    <row r="53" spans="1:2">
      <c r="A53" s="39"/>
      <c r="B53" s="33" t="str">
        <f>SATS!B63</f>
        <v>Computer</v>
      </c>
    </row>
    <row r="54" spans="1:2">
      <c r="A54" s="39"/>
      <c r="B54" s="33" t="str">
        <f>SATS!B64</f>
        <v>Monitor</v>
      </c>
    </row>
    <row r="55" spans="1:2">
      <c r="A55" s="39"/>
      <c r="B55" s="33" t="str">
        <f>SATS!B65</f>
        <v>EISA nx</v>
      </c>
    </row>
    <row r="56" spans="1:2">
      <c r="A56" s="39"/>
      <c r="B56" s="33" t="str">
        <f>SATS!B66</f>
        <v>EISA x</v>
      </c>
    </row>
    <row r="57" spans="1:2">
      <c r="A57" s="39"/>
      <c r="B57" s="33" t="str">
        <f>SATS!B67</f>
        <v>WallSqft</v>
      </c>
    </row>
    <row r="58" spans="1:2">
      <c r="A58" s="39"/>
      <c r="B58" s="33" t="str">
        <f>SATS!B68</f>
        <v>AtticSqft</v>
      </c>
    </row>
    <row r="59" spans="1:2">
      <c r="A59" s="39"/>
      <c r="B59" s="33" t="str">
        <f>SATS!B69</f>
        <v>FloorSqft</v>
      </c>
    </row>
    <row r="60" spans="1:2">
      <c r="B60" s="33" t="str">
        <f>SATS!B70</f>
        <v>WindowSqft</v>
      </c>
    </row>
    <row r="61" spans="1:2">
      <c r="B61" s="33" t="str">
        <f>SATS!B71</f>
        <v>HomeSqft</v>
      </c>
    </row>
    <row r="62" spans="1:2">
      <c r="B62" s="33" t="str">
        <f>SATS!B72</f>
        <v>Lighting</v>
      </c>
    </row>
    <row r="63" spans="1:2">
      <c r="B63" s="33">
        <f>SATS!B73</f>
        <v>0</v>
      </c>
    </row>
    <row r="64" spans="1:2">
      <c r="B64" s="33">
        <f>SATS!B74</f>
        <v>0</v>
      </c>
    </row>
    <row r="65" spans="2:2">
      <c r="B65" s="33">
        <f>SATS!B75</f>
        <v>0</v>
      </c>
    </row>
    <row r="66" spans="2:2">
      <c r="B66" s="33">
        <f>SATS!B76</f>
        <v>0</v>
      </c>
    </row>
    <row r="67" spans="2:2">
      <c r="B67" s="33">
        <f>SATS!B77</f>
        <v>0</v>
      </c>
    </row>
    <row r="68" spans="2:2">
      <c r="B68" s="33">
        <f>SATS!B78</f>
        <v>0</v>
      </c>
    </row>
    <row r="105" ht="12.75" customHeight="1"/>
    <row r="106" ht="95.25" customHeight="1"/>
  </sheetData>
  <phoneticPr fontId="0" type="noConversion"/>
  <pageMargins left="0.75" right="0.75" top="1" bottom="1" header="0.5" footer="0.5"/>
  <pageSetup scale="4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sheetPr codeName="Sheet6">
    <tabColor rgb="FFFF0000"/>
  </sheetPr>
  <dimension ref="A1:S48"/>
  <sheetViews>
    <sheetView topLeftCell="B4" workbookViewId="0">
      <selection activeCell="B45" sqref="A45:XFD45"/>
    </sheetView>
  </sheetViews>
  <sheetFormatPr defaultRowHeight="12.75"/>
  <cols>
    <col min="1" max="1" width="8.140625" style="97" bestFit="1" customWidth="1"/>
    <col min="2" max="2" width="20.85546875" style="97" bestFit="1" customWidth="1"/>
    <col min="3" max="3" width="40.5703125" style="97" bestFit="1" customWidth="1"/>
    <col min="4" max="4" width="19.7109375" style="97" customWidth="1"/>
    <col min="5" max="5" width="23.28515625" style="97" customWidth="1"/>
    <col min="6" max="6" width="18.85546875" style="97" customWidth="1"/>
    <col min="7" max="8" width="9.140625" style="97" customWidth="1"/>
    <col min="9" max="9" width="10.7109375" style="97" customWidth="1"/>
    <col min="10" max="11" width="9.140625" style="97" customWidth="1"/>
    <col min="12" max="12" width="21" style="97" customWidth="1"/>
    <col min="13" max="17" width="9.140625" style="97" customWidth="1"/>
    <col min="18" max="16384" width="9.140625" style="97"/>
  </cols>
  <sheetData>
    <row r="1" spans="1:18">
      <c r="A1" s="97" t="s">
        <v>321</v>
      </c>
      <c r="B1" s="91" t="s">
        <v>56</v>
      </c>
      <c r="C1" s="91" t="s">
        <v>328</v>
      </c>
      <c r="D1" s="91" t="s">
        <v>394</v>
      </c>
      <c r="E1" s="91" t="s">
        <v>180</v>
      </c>
      <c r="F1" s="91" t="s">
        <v>182</v>
      </c>
      <c r="G1" s="91" t="s">
        <v>181</v>
      </c>
      <c r="H1" s="91" t="s">
        <v>223</v>
      </c>
      <c r="I1" s="91" t="s">
        <v>226</v>
      </c>
      <c r="K1" s="91" t="s">
        <v>249</v>
      </c>
      <c r="L1" s="91" t="s">
        <v>248</v>
      </c>
      <c r="M1" s="91" t="s">
        <v>250</v>
      </c>
      <c r="N1" s="91" t="s">
        <v>284</v>
      </c>
      <c r="O1" s="91" t="s">
        <v>285</v>
      </c>
      <c r="P1" s="91" t="s">
        <v>286</v>
      </c>
      <c r="R1" s="91" t="s">
        <v>50</v>
      </c>
    </row>
    <row r="2" spans="1:18">
      <c r="A2" s="97" t="s">
        <v>320</v>
      </c>
      <c r="B2" s="97" t="s">
        <v>346</v>
      </c>
      <c r="C2" s="97" t="s">
        <v>346</v>
      </c>
      <c r="D2" s="97" t="s">
        <v>352</v>
      </c>
      <c r="E2" s="97" t="s">
        <v>210</v>
      </c>
      <c r="F2" s="97" t="s">
        <v>393</v>
      </c>
      <c r="G2" s="97" t="s">
        <v>397</v>
      </c>
      <c r="H2" s="97" t="s">
        <v>397</v>
      </c>
      <c r="I2" s="97" t="s">
        <v>225</v>
      </c>
      <c r="K2" s="97" t="s">
        <v>288</v>
      </c>
      <c r="L2" s="97" t="s">
        <v>241</v>
      </c>
      <c r="M2" s="97" t="s">
        <v>282</v>
      </c>
      <c r="O2" s="97" t="s">
        <v>287</v>
      </c>
      <c r="R2" s="97" t="s">
        <v>494</v>
      </c>
    </row>
    <row r="3" spans="1:18">
      <c r="B3" s="97" t="s">
        <v>331</v>
      </c>
      <c r="C3" s="98" t="s">
        <v>343</v>
      </c>
      <c r="D3" s="98" t="s">
        <v>350</v>
      </c>
      <c r="E3" s="97" t="s">
        <v>214</v>
      </c>
      <c r="F3" s="97" t="s">
        <v>215</v>
      </c>
      <c r="G3" s="97" t="s">
        <v>397</v>
      </c>
      <c r="H3" s="97" t="s">
        <v>397</v>
      </c>
      <c r="I3" s="97" t="s">
        <v>225</v>
      </c>
      <c r="K3" s="97" t="s">
        <v>208</v>
      </c>
      <c r="M3" s="97" t="s">
        <v>282</v>
      </c>
      <c r="O3" s="97" t="s">
        <v>208</v>
      </c>
      <c r="R3" s="97" t="s">
        <v>458</v>
      </c>
    </row>
    <row r="4" spans="1:18">
      <c r="B4" s="97" t="s">
        <v>331</v>
      </c>
      <c r="C4" s="98" t="s">
        <v>343</v>
      </c>
      <c r="D4" s="98" t="s">
        <v>351</v>
      </c>
      <c r="E4" s="97" t="s">
        <v>216</v>
      </c>
      <c r="F4" s="97" t="s">
        <v>217</v>
      </c>
      <c r="G4" s="97" t="s">
        <v>397</v>
      </c>
      <c r="H4" s="97" t="s">
        <v>397</v>
      </c>
      <c r="I4" s="97" t="s">
        <v>225</v>
      </c>
      <c r="K4" s="97" t="s">
        <v>208</v>
      </c>
      <c r="M4" s="97" t="s">
        <v>282</v>
      </c>
      <c r="O4" s="97" t="s">
        <v>208</v>
      </c>
      <c r="R4" s="97" t="s">
        <v>458</v>
      </c>
    </row>
    <row r="5" spans="1:18">
      <c r="A5" s="97" t="s">
        <v>320</v>
      </c>
      <c r="B5" s="97" t="s">
        <v>331</v>
      </c>
      <c r="C5" s="97" t="s">
        <v>335</v>
      </c>
      <c r="D5" s="97" t="s">
        <v>348</v>
      </c>
      <c r="E5" s="97" t="s">
        <v>130</v>
      </c>
      <c r="F5" s="97" t="s">
        <v>387</v>
      </c>
      <c r="G5" s="97" t="s">
        <v>397</v>
      </c>
      <c r="H5" s="97" t="s">
        <v>397</v>
      </c>
      <c r="I5" s="97" t="s">
        <v>227</v>
      </c>
      <c r="K5" s="97" t="s">
        <v>239</v>
      </c>
      <c r="M5" s="97" t="s">
        <v>282</v>
      </c>
      <c r="O5" s="97" t="s">
        <v>239</v>
      </c>
      <c r="R5" s="97" t="s">
        <v>457</v>
      </c>
    </row>
    <row r="6" spans="1:18">
      <c r="B6" s="97" t="s">
        <v>333</v>
      </c>
      <c r="C6" s="97" t="s">
        <v>129</v>
      </c>
      <c r="D6" s="97" t="s">
        <v>185</v>
      </c>
      <c r="E6" s="97" t="s">
        <v>198</v>
      </c>
      <c r="F6" s="97" t="s">
        <v>199</v>
      </c>
      <c r="G6" s="97" t="s">
        <v>397</v>
      </c>
      <c r="H6" s="97" t="s">
        <v>397</v>
      </c>
      <c r="I6" s="97" t="s">
        <v>225</v>
      </c>
      <c r="K6" s="97" t="s">
        <v>399</v>
      </c>
      <c r="M6" s="97" t="s">
        <v>282</v>
      </c>
      <c r="O6" s="97" t="s">
        <v>399</v>
      </c>
      <c r="R6" s="97" t="s">
        <v>457</v>
      </c>
    </row>
    <row r="7" spans="1:18">
      <c r="B7" s="97" t="s">
        <v>333</v>
      </c>
      <c r="C7" s="97" t="s">
        <v>129</v>
      </c>
      <c r="D7" s="97" t="s">
        <v>150</v>
      </c>
      <c r="E7" s="97" t="s">
        <v>201</v>
      </c>
      <c r="F7" s="97" t="s">
        <v>200</v>
      </c>
      <c r="G7" s="97" t="s">
        <v>397</v>
      </c>
      <c r="H7" s="97" t="s">
        <v>397</v>
      </c>
      <c r="I7" s="97" t="s">
        <v>225</v>
      </c>
      <c r="K7" s="97" t="s">
        <v>238</v>
      </c>
      <c r="M7" s="97" t="s">
        <v>282</v>
      </c>
      <c r="O7" s="97" t="s">
        <v>238</v>
      </c>
      <c r="R7" s="97" t="s">
        <v>457</v>
      </c>
    </row>
    <row r="8" spans="1:18">
      <c r="B8" s="97" t="s">
        <v>55</v>
      </c>
      <c r="C8" s="97" t="s">
        <v>330</v>
      </c>
      <c r="D8" s="97" t="s">
        <v>349</v>
      </c>
      <c r="E8" s="97" t="s">
        <v>188</v>
      </c>
      <c r="F8" s="97" t="s">
        <v>222</v>
      </c>
      <c r="G8" s="97" t="s">
        <v>397</v>
      </c>
      <c r="H8" s="97" t="s">
        <v>398</v>
      </c>
      <c r="I8" s="97" t="s">
        <v>227</v>
      </c>
      <c r="K8" s="101" t="s">
        <v>239</v>
      </c>
      <c r="M8" s="97" t="s">
        <v>282</v>
      </c>
      <c r="O8" s="97" t="s">
        <v>239</v>
      </c>
      <c r="R8" s="97" t="s">
        <v>495</v>
      </c>
    </row>
    <row r="9" spans="1:18">
      <c r="B9" s="97" t="s">
        <v>55</v>
      </c>
      <c r="C9" s="97" t="s">
        <v>330</v>
      </c>
      <c r="D9" s="97" t="s">
        <v>349</v>
      </c>
      <c r="E9" s="97" t="s">
        <v>189</v>
      </c>
      <c r="F9" s="97" t="s">
        <v>222</v>
      </c>
      <c r="G9" s="97" t="s">
        <v>397</v>
      </c>
      <c r="H9" s="97" t="s">
        <v>398</v>
      </c>
      <c r="I9" s="97" t="s">
        <v>227</v>
      </c>
      <c r="K9" s="97" t="s">
        <v>239</v>
      </c>
      <c r="M9" s="97" t="s">
        <v>282</v>
      </c>
      <c r="O9" s="97" t="s">
        <v>239</v>
      </c>
      <c r="R9" s="97" t="s">
        <v>495</v>
      </c>
    </row>
    <row r="10" spans="1:18">
      <c r="B10" s="97" t="s">
        <v>55</v>
      </c>
      <c r="C10" s="97" t="s">
        <v>330</v>
      </c>
      <c r="D10" s="97" t="s">
        <v>349</v>
      </c>
      <c r="E10" s="97" t="s">
        <v>190</v>
      </c>
      <c r="F10" s="97" t="s">
        <v>222</v>
      </c>
      <c r="G10" s="97" t="s">
        <v>397</v>
      </c>
      <c r="H10" s="97" t="s">
        <v>398</v>
      </c>
      <c r="I10" s="97" t="s">
        <v>227</v>
      </c>
      <c r="K10" s="97" t="s">
        <v>239</v>
      </c>
      <c r="M10" s="97" t="s">
        <v>282</v>
      </c>
      <c r="O10" s="97" t="s">
        <v>239</v>
      </c>
      <c r="R10" s="97" t="s">
        <v>495</v>
      </c>
    </row>
    <row r="11" spans="1:18">
      <c r="B11" s="97" t="s">
        <v>55</v>
      </c>
      <c r="C11" s="97" t="s">
        <v>330</v>
      </c>
      <c r="D11" s="97" t="s">
        <v>349</v>
      </c>
      <c r="E11" s="97" t="s">
        <v>191</v>
      </c>
      <c r="F11" s="97" t="s">
        <v>202</v>
      </c>
      <c r="G11" s="97" t="s">
        <v>397</v>
      </c>
      <c r="H11" s="97" t="s">
        <v>398</v>
      </c>
      <c r="I11" s="97" t="s">
        <v>227</v>
      </c>
      <c r="K11" s="97" t="s">
        <v>239</v>
      </c>
      <c r="M11" s="97" t="s">
        <v>282</v>
      </c>
      <c r="O11" s="97" t="s">
        <v>239</v>
      </c>
      <c r="R11" s="97" t="s">
        <v>495</v>
      </c>
    </row>
    <row r="12" spans="1:18">
      <c r="B12" s="97" t="s">
        <v>55</v>
      </c>
      <c r="C12" s="97" t="s">
        <v>330</v>
      </c>
      <c r="D12" s="97" t="s">
        <v>349</v>
      </c>
      <c r="E12" s="97" t="s">
        <v>192</v>
      </c>
      <c r="F12" s="97" t="s">
        <v>203</v>
      </c>
      <c r="G12" s="97" t="s">
        <v>397</v>
      </c>
      <c r="H12" s="97" t="s">
        <v>398</v>
      </c>
      <c r="I12" s="97" t="s">
        <v>227</v>
      </c>
      <c r="K12" s="97" t="s">
        <v>239</v>
      </c>
      <c r="M12" s="97" t="s">
        <v>282</v>
      </c>
      <c r="O12" s="97" t="s">
        <v>239</v>
      </c>
      <c r="R12" s="97" t="s">
        <v>495</v>
      </c>
    </row>
    <row r="13" spans="1:18" s="106" customFormat="1">
      <c r="B13" s="106" t="s">
        <v>55</v>
      </c>
      <c r="C13" s="106" t="s">
        <v>330</v>
      </c>
      <c r="D13" s="106" t="s">
        <v>349</v>
      </c>
      <c r="E13" s="106" t="s">
        <v>188</v>
      </c>
      <c r="F13" s="106" t="s">
        <v>204</v>
      </c>
      <c r="G13" s="106" t="s">
        <v>397</v>
      </c>
      <c r="H13" s="106" t="s">
        <v>52</v>
      </c>
      <c r="I13" s="106" t="s">
        <v>227</v>
      </c>
      <c r="K13" s="106" t="s">
        <v>239</v>
      </c>
      <c r="M13" s="106" t="s">
        <v>240</v>
      </c>
      <c r="O13" s="106" t="s">
        <v>239</v>
      </c>
      <c r="R13" s="106" t="s">
        <v>467</v>
      </c>
    </row>
    <row r="14" spans="1:18" s="106" customFormat="1">
      <c r="B14" s="106" t="s">
        <v>55</v>
      </c>
      <c r="C14" s="106" t="s">
        <v>330</v>
      </c>
      <c r="D14" s="106" t="s">
        <v>349</v>
      </c>
      <c r="E14" s="106" t="s">
        <v>189</v>
      </c>
      <c r="F14" s="106" t="s">
        <v>204</v>
      </c>
      <c r="G14" s="106" t="s">
        <v>397</v>
      </c>
      <c r="H14" s="106" t="s">
        <v>52</v>
      </c>
      <c r="I14" s="106" t="s">
        <v>227</v>
      </c>
      <c r="K14" s="106" t="s">
        <v>239</v>
      </c>
      <c r="M14" s="106" t="s">
        <v>240</v>
      </c>
      <c r="O14" s="106" t="s">
        <v>239</v>
      </c>
      <c r="R14" s="106" t="s">
        <v>467</v>
      </c>
    </row>
    <row r="15" spans="1:18" s="106" customFormat="1">
      <c r="B15" s="106" t="s">
        <v>55</v>
      </c>
      <c r="C15" s="106" t="s">
        <v>330</v>
      </c>
      <c r="D15" s="106" t="s">
        <v>349</v>
      </c>
      <c r="E15" s="106" t="s">
        <v>190</v>
      </c>
      <c r="F15" s="106" t="s">
        <v>204</v>
      </c>
      <c r="G15" s="106" t="s">
        <v>397</v>
      </c>
      <c r="H15" s="106" t="s">
        <v>52</v>
      </c>
      <c r="I15" s="106" t="s">
        <v>227</v>
      </c>
      <c r="K15" s="106" t="s">
        <v>239</v>
      </c>
      <c r="M15" s="106" t="s">
        <v>240</v>
      </c>
      <c r="O15" s="106" t="s">
        <v>239</v>
      </c>
      <c r="R15" s="106" t="s">
        <v>467</v>
      </c>
    </row>
    <row r="16" spans="1:18" s="106" customFormat="1">
      <c r="B16" s="106" t="s">
        <v>55</v>
      </c>
      <c r="C16" s="106" t="s">
        <v>330</v>
      </c>
      <c r="D16" s="106" t="s">
        <v>349</v>
      </c>
      <c r="E16" s="106" t="s">
        <v>191</v>
      </c>
      <c r="F16" s="106" t="s">
        <v>204</v>
      </c>
      <c r="G16" s="106" t="s">
        <v>397</v>
      </c>
      <c r="H16" s="106" t="s">
        <v>52</v>
      </c>
      <c r="I16" s="106" t="s">
        <v>227</v>
      </c>
      <c r="K16" s="106" t="s">
        <v>239</v>
      </c>
      <c r="M16" s="106" t="s">
        <v>240</v>
      </c>
      <c r="O16" s="106" t="s">
        <v>239</v>
      </c>
      <c r="R16" s="106" t="s">
        <v>467</v>
      </c>
    </row>
    <row r="17" spans="1:19" s="106" customFormat="1">
      <c r="B17" s="106" t="s">
        <v>55</v>
      </c>
      <c r="C17" s="106" t="s">
        <v>330</v>
      </c>
      <c r="D17" s="106" t="s">
        <v>349</v>
      </c>
      <c r="E17" s="106" t="s">
        <v>192</v>
      </c>
      <c r="F17" s="106" t="s">
        <v>204</v>
      </c>
      <c r="G17" s="106" t="s">
        <v>397</v>
      </c>
      <c r="H17" s="106" t="s">
        <v>52</v>
      </c>
      <c r="I17" s="106" t="s">
        <v>227</v>
      </c>
      <c r="K17" s="106" t="s">
        <v>239</v>
      </c>
      <c r="M17" s="106" t="s">
        <v>240</v>
      </c>
      <c r="O17" s="106" t="s">
        <v>239</v>
      </c>
      <c r="R17" s="106" t="s">
        <v>467</v>
      </c>
    </row>
    <row r="18" spans="1:19">
      <c r="B18" s="97" t="s">
        <v>55</v>
      </c>
      <c r="C18" s="97" t="s">
        <v>339</v>
      </c>
      <c r="D18" s="97" t="s">
        <v>353</v>
      </c>
      <c r="E18" s="97" t="s">
        <v>207</v>
      </c>
      <c r="F18" s="97" t="s">
        <v>392</v>
      </c>
      <c r="G18" s="97" t="s">
        <v>397</v>
      </c>
      <c r="H18" s="97" t="s">
        <v>52</v>
      </c>
      <c r="I18" s="97" t="s">
        <v>227</v>
      </c>
      <c r="K18" s="97" t="s">
        <v>402</v>
      </c>
      <c r="R18" s="106" t="s">
        <v>324</v>
      </c>
    </row>
    <row r="19" spans="1:19">
      <c r="B19" s="97" t="s">
        <v>55</v>
      </c>
      <c r="C19" s="97" t="s">
        <v>329</v>
      </c>
      <c r="D19" s="97" t="s">
        <v>354</v>
      </c>
      <c r="E19" s="97" t="s">
        <v>245</v>
      </c>
      <c r="F19" s="97" t="s">
        <v>244</v>
      </c>
      <c r="G19" s="97" t="s">
        <v>397</v>
      </c>
      <c r="H19" s="97" t="s">
        <v>397</v>
      </c>
      <c r="I19" s="97" t="s">
        <v>225</v>
      </c>
      <c r="K19" s="97" t="s">
        <v>239</v>
      </c>
      <c r="M19" s="97" t="s">
        <v>282</v>
      </c>
      <c r="O19" s="97" t="s">
        <v>239</v>
      </c>
      <c r="R19" s="97" t="s">
        <v>457</v>
      </c>
    </row>
    <row r="20" spans="1:19">
      <c r="B20" s="97" t="s">
        <v>55</v>
      </c>
      <c r="C20" s="97" t="s">
        <v>329</v>
      </c>
      <c r="D20" s="97" t="s">
        <v>355</v>
      </c>
      <c r="E20" s="97" t="s">
        <v>242</v>
      </c>
      <c r="F20" s="97" t="s">
        <v>244</v>
      </c>
      <c r="G20" s="97" t="s">
        <v>397</v>
      </c>
      <c r="H20" s="97" t="s">
        <v>397</v>
      </c>
      <c r="I20" s="97" t="s">
        <v>225</v>
      </c>
      <c r="K20" s="97" t="s">
        <v>239</v>
      </c>
      <c r="M20" s="97" t="s">
        <v>282</v>
      </c>
      <c r="O20" s="97" t="s">
        <v>239</v>
      </c>
      <c r="R20" s="97" t="s">
        <v>457</v>
      </c>
    </row>
    <row r="21" spans="1:19">
      <c r="B21" s="97" t="s">
        <v>55</v>
      </c>
      <c r="C21" s="97" t="s">
        <v>329</v>
      </c>
      <c r="D21" s="97" t="s">
        <v>355</v>
      </c>
      <c r="E21" s="97" t="s">
        <v>243</v>
      </c>
      <c r="F21" s="97" t="s">
        <v>187</v>
      </c>
      <c r="G21" s="97" t="s">
        <v>397</v>
      </c>
      <c r="H21" s="97" t="s">
        <v>398</v>
      </c>
      <c r="I21" s="97" t="s">
        <v>225</v>
      </c>
      <c r="K21" s="97" t="s">
        <v>239</v>
      </c>
      <c r="M21" s="97" t="s">
        <v>282</v>
      </c>
      <c r="O21" s="97" t="s">
        <v>239</v>
      </c>
      <c r="R21" s="97" t="s">
        <v>457</v>
      </c>
    </row>
    <row r="22" spans="1:19">
      <c r="B22" s="97" t="s">
        <v>55</v>
      </c>
      <c r="C22" s="97" t="s">
        <v>329</v>
      </c>
      <c r="D22" s="97" t="s">
        <v>356</v>
      </c>
      <c r="E22" s="97" t="s">
        <v>246</v>
      </c>
      <c r="F22" s="97" t="s">
        <v>186</v>
      </c>
      <c r="G22" s="97" t="s">
        <v>397</v>
      </c>
      <c r="H22" s="97" t="s">
        <v>398</v>
      </c>
      <c r="I22" s="97" t="s">
        <v>227</v>
      </c>
      <c r="K22" s="97" t="s">
        <v>239</v>
      </c>
      <c r="M22" s="97" t="s">
        <v>282</v>
      </c>
      <c r="O22" s="97" t="s">
        <v>239</v>
      </c>
      <c r="R22" s="97" t="s">
        <v>457</v>
      </c>
    </row>
    <row r="23" spans="1:19">
      <c r="A23" s="97" t="s">
        <v>320</v>
      </c>
      <c r="B23" s="97" t="s">
        <v>55</v>
      </c>
      <c r="C23" s="97" t="s">
        <v>329</v>
      </c>
      <c r="D23" s="97" t="s">
        <v>356</v>
      </c>
      <c r="E23" s="97" t="s">
        <v>246</v>
      </c>
      <c r="F23" s="97" t="s">
        <v>187</v>
      </c>
      <c r="G23" s="97" t="s">
        <v>441</v>
      </c>
      <c r="H23" s="97" t="s">
        <v>398</v>
      </c>
      <c r="I23" s="97" t="s">
        <v>227</v>
      </c>
      <c r="K23" s="97" t="s">
        <v>239</v>
      </c>
      <c r="M23" s="97" t="s">
        <v>282</v>
      </c>
      <c r="O23" s="97" t="s">
        <v>400</v>
      </c>
      <c r="R23" s="97" t="s">
        <v>324</v>
      </c>
    </row>
    <row r="24" spans="1:19">
      <c r="B24" s="97" t="s">
        <v>55</v>
      </c>
      <c r="C24" s="97" t="s">
        <v>329</v>
      </c>
      <c r="D24" s="97" t="s">
        <v>357</v>
      </c>
      <c r="E24" s="97" t="s">
        <v>224</v>
      </c>
      <c r="F24" s="97" t="s">
        <v>205</v>
      </c>
      <c r="G24" s="97" t="s">
        <v>397</v>
      </c>
      <c r="H24" s="97" t="s">
        <v>398</v>
      </c>
      <c r="I24" s="97" t="s">
        <v>227</v>
      </c>
      <c r="K24" s="97" t="s">
        <v>239</v>
      </c>
      <c r="M24" s="97" t="s">
        <v>282</v>
      </c>
      <c r="O24" s="97" t="s">
        <v>400</v>
      </c>
      <c r="R24" s="97" t="s">
        <v>324</v>
      </c>
    </row>
    <row r="25" spans="1:19">
      <c r="A25" s="97" t="s">
        <v>320</v>
      </c>
      <c r="B25" s="97" t="s">
        <v>55</v>
      </c>
      <c r="C25" s="97" t="s">
        <v>329</v>
      </c>
      <c r="D25" s="106" t="s">
        <v>370</v>
      </c>
      <c r="E25" s="106" t="s">
        <v>301</v>
      </c>
      <c r="F25" s="106" t="s">
        <v>302</v>
      </c>
      <c r="G25" s="106" t="s">
        <v>397</v>
      </c>
      <c r="H25" s="106" t="s">
        <v>397</v>
      </c>
      <c r="I25" s="106" t="s">
        <v>225</v>
      </c>
      <c r="J25" s="106"/>
      <c r="K25" s="106"/>
      <c r="M25" s="106"/>
      <c r="N25" s="106"/>
      <c r="O25" s="106"/>
      <c r="P25" s="106"/>
      <c r="Q25" s="106"/>
      <c r="R25" s="106" t="s">
        <v>468</v>
      </c>
      <c r="S25" s="106"/>
    </row>
    <row r="26" spans="1:19">
      <c r="A26" s="97" t="s">
        <v>320</v>
      </c>
      <c r="B26" s="97" t="s">
        <v>55</v>
      </c>
      <c r="C26" s="97" t="s">
        <v>329</v>
      </c>
      <c r="D26" s="97" t="s">
        <v>369</v>
      </c>
      <c r="E26" s="97" t="s">
        <v>369</v>
      </c>
      <c r="F26" s="97" t="s">
        <v>391</v>
      </c>
      <c r="G26" s="97" t="s">
        <v>397</v>
      </c>
      <c r="H26" s="97" t="s">
        <v>397</v>
      </c>
      <c r="I26" s="97" t="s">
        <v>227</v>
      </c>
      <c r="M26" s="97" t="s">
        <v>282</v>
      </c>
    </row>
    <row r="27" spans="1:19">
      <c r="A27" s="97" t="s">
        <v>320</v>
      </c>
      <c r="B27" s="97" t="s">
        <v>55</v>
      </c>
      <c r="C27" s="97" t="s">
        <v>347</v>
      </c>
      <c r="D27" s="97" t="s">
        <v>358</v>
      </c>
      <c r="E27" s="97" t="s">
        <v>206</v>
      </c>
      <c r="F27" s="97" t="s">
        <v>390</v>
      </c>
      <c r="G27" s="97" t="s">
        <v>397</v>
      </c>
      <c r="H27" s="97" t="s">
        <v>398</v>
      </c>
      <c r="I27" s="97" t="s">
        <v>227</v>
      </c>
      <c r="K27" s="97" t="s">
        <v>401</v>
      </c>
      <c r="L27" s="24" t="s">
        <v>295</v>
      </c>
      <c r="O27" s="97" t="s">
        <v>290</v>
      </c>
      <c r="P27" s="97" t="s">
        <v>295</v>
      </c>
      <c r="R27" s="97" t="s">
        <v>324</v>
      </c>
    </row>
    <row r="28" spans="1:19">
      <c r="A28" s="97" t="s">
        <v>320</v>
      </c>
      <c r="B28" s="97" t="s">
        <v>395</v>
      </c>
      <c r="C28" s="97" t="s">
        <v>344</v>
      </c>
      <c r="D28" s="90" t="s">
        <v>131</v>
      </c>
      <c r="E28" s="97" t="s">
        <v>209</v>
      </c>
      <c r="F28" s="97" t="s">
        <v>294</v>
      </c>
      <c r="G28" s="97" t="s">
        <v>228</v>
      </c>
      <c r="H28" s="97" t="s">
        <v>397</v>
      </c>
      <c r="I28" s="97" t="s">
        <v>225</v>
      </c>
      <c r="K28" s="97" t="s">
        <v>292</v>
      </c>
      <c r="L28" s="24" t="s">
        <v>293</v>
      </c>
      <c r="M28" s="97" t="s">
        <v>291</v>
      </c>
      <c r="O28" s="97" t="s">
        <v>290</v>
      </c>
      <c r="P28" s="97" t="s">
        <v>293</v>
      </c>
    </row>
    <row r="29" spans="1:19">
      <c r="B29" s="97" t="s">
        <v>126</v>
      </c>
      <c r="C29" s="97" t="s">
        <v>332</v>
      </c>
      <c r="D29" s="97" t="s">
        <v>359</v>
      </c>
      <c r="E29" s="97" t="s">
        <v>371</v>
      </c>
      <c r="F29" s="93" t="s">
        <v>372</v>
      </c>
      <c r="G29" s="97" t="s">
        <v>397</v>
      </c>
      <c r="H29" s="97" t="s">
        <v>397</v>
      </c>
      <c r="I29" s="97" t="s">
        <v>227</v>
      </c>
      <c r="K29" s="97" t="s">
        <v>239</v>
      </c>
      <c r="L29" s="97" t="s">
        <v>247</v>
      </c>
      <c r="M29" s="97" t="s">
        <v>282</v>
      </c>
      <c r="R29" s="97" t="s">
        <v>324</v>
      </c>
    </row>
    <row r="30" spans="1:19">
      <c r="B30" s="97" t="s">
        <v>126</v>
      </c>
      <c r="C30" s="97" t="s">
        <v>332</v>
      </c>
      <c r="D30" s="97" t="s">
        <v>359</v>
      </c>
      <c r="E30" s="97" t="s">
        <v>298</v>
      </c>
      <c r="F30" s="97" t="s">
        <v>183</v>
      </c>
      <c r="G30" s="97" t="s">
        <v>397</v>
      </c>
      <c r="H30" s="97" t="s">
        <v>397</v>
      </c>
      <c r="I30" s="97" t="s">
        <v>227</v>
      </c>
      <c r="K30" s="97" t="s">
        <v>239</v>
      </c>
      <c r="M30" s="97" t="s">
        <v>282</v>
      </c>
      <c r="O30" s="97" t="s">
        <v>239</v>
      </c>
      <c r="R30" s="97" t="s">
        <v>324</v>
      </c>
    </row>
    <row r="31" spans="1:19" s="106" customFormat="1">
      <c r="B31" s="106" t="s">
        <v>126</v>
      </c>
      <c r="C31" s="106" t="s">
        <v>156</v>
      </c>
      <c r="D31" s="106" t="s">
        <v>156</v>
      </c>
      <c r="E31" s="106" t="s">
        <v>299</v>
      </c>
      <c r="F31" s="106" t="s">
        <v>389</v>
      </c>
      <c r="G31" s="106" t="s">
        <v>397</v>
      </c>
      <c r="H31" s="106" t="s">
        <v>397</v>
      </c>
      <c r="I31" s="106" t="s">
        <v>227</v>
      </c>
      <c r="M31" s="106" t="s">
        <v>282</v>
      </c>
      <c r="R31" s="106" t="s">
        <v>542</v>
      </c>
    </row>
    <row r="32" spans="1:19" s="106" customFormat="1">
      <c r="A32" s="106" t="s">
        <v>320</v>
      </c>
      <c r="B32" s="106" t="s">
        <v>345</v>
      </c>
      <c r="C32" s="118" t="s">
        <v>373</v>
      </c>
      <c r="D32" s="106" t="s">
        <v>374</v>
      </c>
      <c r="E32" s="106" t="s">
        <v>220</v>
      </c>
      <c r="F32" s="106" t="s">
        <v>386</v>
      </c>
      <c r="G32" s="106" t="s">
        <v>397</v>
      </c>
      <c r="H32" s="106" t="s">
        <v>397</v>
      </c>
      <c r="I32" s="106" t="s">
        <v>227</v>
      </c>
      <c r="R32" s="106" t="s">
        <v>469</v>
      </c>
    </row>
    <row r="33" spans="1:18">
      <c r="B33" s="97" t="s">
        <v>127</v>
      </c>
      <c r="C33" s="97" t="s">
        <v>336</v>
      </c>
      <c r="D33" s="97" t="s">
        <v>336</v>
      </c>
      <c r="E33" s="97" t="s">
        <v>213</v>
      </c>
      <c r="F33" s="97" t="s">
        <v>212</v>
      </c>
      <c r="G33" s="97" t="s">
        <v>397</v>
      </c>
      <c r="H33" s="97" t="s">
        <v>397</v>
      </c>
      <c r="I33" s="97" t="s">
        <v>225</v>
      </c>
      <c r="K33" s="97" t="s">
        <v>239</v>
      </c>
      <c r="L33" s="97" t="s">
        <v>247</v>
      </c>
      <c r="M33" s="97" t="s">
        <v>282</v>
      </c>
      <c r="O33" s="97" t="s">
        <v>287</v>
      </c>
      <c r="R33" s="97" t="s">
        <v>457</v>
      </c>
    </row>
    <row r="34" spans="1:18">
      <c r="B34" s="97" t="s">
        <v>127</v>
      </c>
      <c r="C34" s="98" t="s">
        <v>337</v>
      </c>
      <c r="D34" s="98" t="s">
        <v>337</v>
      </c>
      <c r="E34" s="97" t="s">
        <v>211</v>
      </c>
      <c r="F34" s="97" t="s">
        <v>212</v>
      </c>
      <c r="G34" s="97" t="s">
        <v>397</v>
      </c>
      <c r="H34" s="97" t="s">
        <v>397</v>
      </c>
      <c r="I34" s="97" t="s">
        <v>225</v>
      </c>
      <c r="K34" s="97" t="s">
        <v>239</v>
      </c>
      <c r="L34" s="97" t="s">
        <v>247</v>
      </c>
      <c r="M34" s="97" t="s">
        <v>282</v>
      </c>
      <c r="O34" s="97" t="s">
        <v>287</v>
      </c>
      <c r="R34" s="97" t="s">
        <v>457</v>
      </c>
    </row>
    <row r="35" spans="1:18">
      <c r="A35" s="97" t="s">
        <v>320</v>
      </c>
      <c r="B35" s="97" t="s">
        <v>184</v>
      </c>
      <c r="C35" s="98" t="s">
        <v>340</v>
      </c>
      <c r="D35" s="98" t="s">
        <v>340</v>
      </c>
      <c r="E35" s="97" t="s">
        <v>218</v>
      </c>
      <c r="F35" s="97" t="s">
        <v>388</v>
      </c>
      <c r="G35" s="97" t="s">
        <v>397</v>
      </c>
      <c r="H35" s="97" t="s">
        <v>398</v>
      </c>
      <c r="I35" s="97" t="s">
        <v>227</v>
      </c>
    </row>
    <row r="36" spans="1:18">
      <c r="B36" s="97" t="s">
        <v>184</v>
      </c>
      <c r="C36" s="98" t="s">
        <v>338</v>
      </c>
      <c r="D36" s="98" t="s">
        <v>360</v>
      </c>
      <c r="E36" s="97" t="s">
        <v>376</v>
      </c>
      <c r="F36" s="97" t="s">
        <v>375</v>
      </c>
      <c r="G36" s="97" t="s">
        <v>323</v>
      </c>
      <c r="H36" s="97" t="s">
        <v>52</v>
      </c>
      <c r="I36" s="97" t="s">
        <v>227</v>
      </c>
      <c r="K36" s="97" t="s">
        <v>239</v>
      </c>
      <c r="M36" s="97" t="s">
        <v>282</v>
      </c>
      <c r="O36" s="97" t="s">
        <v>239</v>
      </c>
      <c r="R36" s="97" t="s">
        <v>457</v>
      </c>
    </row>
    <row r="37" spans="1:18">
      <c r="B37" s="97" t="s">
        <v>184</v>
      </c>
      <c r="C37" s="98" t="s">
        <v>338</v>
      </c>
      <c r="D37" s="98" t="s">
        <v>361</v>
      </c>
      <c r="E37" s="97" t="s">
        <v>411</v>
      </c>
      <c r="F37" s="97" t="s">
        <v>385</v>
      </c>
      <c r="G37" s="97" t="s">
        <v>397</v>
      </c>
      <c r="H37" s="97" t="s">
        <v>397</v>
      </c>
      <c r="I37" s="97" t="s">
        <v>225</v>
      </c>
      <c r="K37" s="97" t="s">
        <v>239</v>
      </c>
      <c r="M37" s="97" t="s">
        <v>282</v>
      </c>
      <c r="O37" s="97" t="s">
        <v>239</v>
      </c>
      <c r="R37" s="97" t="s">
        <v>457</v>
      </c>
    </row>
    <row r="38" spans="1:18">
      <c r="B38" s="97" t="s">
        <v>184</v>
      </c>
      <c r="C38" s="98" t="s">
        <v>338</v>
      </c>
      <c r="D38" s="98" t="s">
        <v>362</v>
      </c>
      <c r="E38" s="97" t="s">
        <v>221</v>
      </c>
      <c r="F38" s="97" t="s">
        <v>384</v>
      </c>
      <c r="G38" s="97" t="s">
        <v>228</v>
      </c>
      <c r="H38" s="97" t="s">
        <v>397</v>
      </c>
      <c r="I38" s="97" t="s">
        <v>225</v>
      </c>
      <c r="K38" s="97" t="s">
        <v>289</v>
      </c>
      <c r="R38" s="97" t="s">
        <v>324</v>
      </c>
    </row>
    <row r="39" spans="1:18">
      <c r="B39" s="97" t="s">
        <v>184</v>
      </c>
      <c r="C39" s="98" t="s">
        <v>334</v>
      </c>
      <c r="D39" s="98" t="s">
        <v>363</v>
      </c>
      <c r="E39" s="97" t="s">
        <v>382</v>
      </c>
      <c r="F39" s="97" t="s">
        <v>194</v>
      </c>
      <c r="G39" s="97" t="s">
        <v>397</v>
      </c>
      <c r="H39" s="97" t="s">
        <v>397</v>
      </c>
      <c r="I39" s="97" t="s">
        <v>225</v>
      </c>
      <c r="K39" s="97" t="s">
        <v>239</v>
      </c>
      <c r="M39" s="97" t="s">
        <v>282</v>
      </c>
      <c r="O39" s="97" t="s">
        <v>239</v>
      </c>
      <c r="R39" s="97" t="s">
        <v>457</v>
      </c>
    </row>
    <row r="40" spans="1:18">
      <c r="B40" s="97" t="s">
        <v>184</v>
      </c>
      <c r="C40" s="98" t="s">
        <v>334</v>
      </c>
      <c r="D40" s="98" t="s">
        <v>364</v>
      </c>
      <c r="E40" s="97" t="s">
        <v>383</v>
      </c>
      <c r="F40" s="97" t="s">
        <v>195</v>
      </c>
      <c r="G40" s="97" t="s">
        <v>397</v>
      </c>
      <c r="H40" s="97" t="s">
        <v>397</v>
      </c>
      <c r="I40" s="97" t="s">
        <v>225</v>
      </c>
      <c r="K40" s="97" t="s">
        <v>239</v>
      </c>
      <c r="L40" s="97" t="s">
        <v>247</v>
      </c>
      <c r="M40" s="97" t="s">
        <v>282</v>
      </c>
      <c r="R40" s="97" t="s">
        <v>327</v>
      </c>
    </row>
    <row r="41" spans="1:18">
      <c r="B41" s="97" t="s">
        <v>184</v>
      </c>
      <c r="C41" s="98" t="s">
        <v>334</v>
      </c>
      <c r="D41" s="98" t="s">
        <v>365</v>
      </c>
      <c r="E41" s="97" t="s">
        <v>196</v>
      </c>
      <c r="F41" s="97" t="s">
        <v>197</v>
      </c>
      <c r="G41" s="97" t="s">
        <v>397</v>
      </c>
      <c r="H41" s="97" t="s">
        <v>397</v>
      </c>
      <c r="I41" s="97" t="s">
        <v>227</v>
      </c>
      <c r="K41" s="97" t="s">
        <v>239</v>
      </c>
      <c r="M41" s="97" t="s">
        <v>282</v>
      </c>
      <c r="O41" s="97" t="s">
        <v>239</v>
      </c>
      <c r="R41" s="97" t="s">
        <v>458</v>
      </c>
    </row>
    <row r="42" spans="1:18">
      <c r="A42" s="97" t="s">
        <v>320</v>
      </c>
      <c r="B42" s="97" t="s">
        <v>184</v>
      </c>
      <c r="C42" s="98" t="s">
        <v>334</v>
      </c>
      <c r="D42" s="98" t="s">
        <v>193</v>
      </c>
      <c r="E42" s="97" t="s">
        <v>377</v>
      </c>
      <c r="F42" s="97" t="s">
        <v>197</v>
      </c>
      <c r="G42" s="97" t="s">
        <v>397</v>
      </c>
      <c r="H42" s="97" t="s">
        <v>397</v>
      </c>
      <c r="I42" s="97" t="s">
        <v>227</v>
      </c>
      <c r="K42" s="97" t="s">
        <v>300</v>
      </c>
      <c r="R42" s="97" t="s">
        <v>458</v>
      </c>
    </row>
    <row r="43" spans="1:18" s="106" customFormat="1">
      <c r="B43" s="117" t="s">
        <v>341</v>
      </c>
      <c r="C43" s="117" t="s">
        <v>342</v>
      </c>
      <c r="D43" s="117" t="s">
        <v>366</v>
      </c>
      <c r="E43" s="106" t="s">
        <v>219</v>
      </c>
      <c r="F43" s="106" t="s">
        <v>381</v>
      </c>
      <c r="G43" s="106" t="s">
        <v>228</v>
      </c>
      <c r="H43" s="106" t="s">
        <v>397</v>
      </c>
      <c r="I43" s="106" t="s">
        <v>227</v>
      </c>
      <c r="K43" s="106" t="s">
        <v>283</v>
      </c>
    </row>
    <row r="44" spans="1:18">
      <c r="A44" s="97" t="s">
        <v>320</v>
      </c>
      <c r="B44" s="98" t="s">
        <v>341</v>
      </c>
      <c r="C44" s="98" t="s">
        <v>342</v>
      </c>
      <c r="D44" s="98" t="s">
        <v>367</v>
      </c>
      <c r="E44" s="97" t="s">
        <v>378</v>
      </c>
      <c r="F44" s="97" t="s">
        <v>380</v>
      </c>
      <c r="G44" s="97" t="s">
        <v>397</v>
      </c>
      <c r="H44" s="97" t="s">
        <v>397</v>
      </c>
      <c r="I44" s="97" t="s">
        <v>227</v>
      </c>
      <c r="K44" s="97" t="s">
        <v>296</v>
      </c>
      <c r="L44" s="97" t="s">
        <v>241</v>
      </c>
      <c r="R44" s="97" t="s">
        <v>496</v>
      </c>
    </row>
    <row r="45" spans="1:18" s="106" customFormat="1">
      <c r="A45" s="106" t="s">
        <v>320</v>
      </c>
      <c r="B45" s="117" t="s">
        <v>341</v>
      </c>
      <c r="C45" s="117" t="s">
        <v>342</v>
      </c>
      <c r="D45" s="117" t="s">
        <v>368</v>
      </c>
      <c r="E45" s="106" t="s">
        <v>396</v>
      </c>
      <c r="F45" s="106" t="s">
        <v>379</v>
      </c>
      <c r="G45" s="106" t="s">
        <v>228</v>
      </c>
      <c r="H45" s="106" t="s">
        <v>397</v>
      </c>
      <c r="I45" s="106" t="s">
        <v>227</v>
      </c>
      <c r="K45" s="106" t="s">
        <v>297</v>
      </c>
      <c r="L45" s="106" t="s">
        <v>241</v>
      </c>
      <c r="R45" s="106" t="s">
        <v>543</v>
      </c>
    </row>
    <row r="46" spans="1:18">
      <c r="A46" s="97" t="s">
        <v>320</v>
      </c>
      <c r="B46" s="97" t="s">
        <v>331</v>
      </c>
      <c r="C46" s="97" t="s">
        <v>335</v>
      </c>
      <c r="D46" s="99" t="s">
        <v>412</v>
      </c>
      <c r="E46" s="97" t="s">
        <v>413</v>
      </c>
      <c r="F46" s="97" t="s">
        <v>414</v>
      </c>
      <c r="G46" s="97" t="s">
        <v>228</v>
      </c>
      <c r="H46" s="97" t="s">
        <v>397</v>
      </c>
      <c r="I46" s="97" t="s">
        <v>225</v>
      </c>
      <c r="R46" s="97" t="s">
        <v>324</v>
      </c>
    </row>
    <row r="47" spans="1:18">
      <c r="A47" s="97" t="s">
        <v>320</v>
      </c>
      <c r="B47" s="97" t="s">
        <v>55</v>
      </c>
      <c r="C47" s="97" t="s">
        <v>329</v>
      </c>
      <c r="D47" s="97" t="s">
        <v>456</v>
      </c>
      <c r="E47" s="97" t="s">
        <v>415</v>
      </c>
      <c r="F47" s="97" t="s">
        <v>421</v>
      </c>
      <c r="G47" s="97" t="s">
        <v>228</v>
      </c>
      <c r="H47" s="97" t="s">
        <v>397</v>
      </c>
      <c r="I47" s="97" t="s">
        <v>225</v>
      </c>
      <c r="K47" s="97" t="s">
        <v>239</v>
      </c>
      <c r="R47" s="97" t="s">
        <v>324</v>
      </c>
    </row>
    <row r="48" spans="1:18">
      <c r="B48" s="102" t="s">
        <v>55</v>
      </c>
      <c r="C48" s="102" t="s">
        <v>329</v>
      </c>
      <c r="D48" s="97" t="s">
        <v>439</v>
      </c>
      <c r="E48" s="102" t="s">
        <v>438</v>
      </c>
      <c r="F48" s="102" t="s">
        <v>440</v>
      </c>
      <c r="G48" s="102" t="s">
        <v>441</v>
      </c>
      <c r="H48" s="102" t="s">
        <v>397</v>
      </c>
      <c r="I48" s="102" t="s">
        <v>225</v>
      </c>
      <c r="K48" s="102" t="s">
        <v>239</v>
      </c>
      <c r="R48" s="97" t="s">
        <v>324</v>
      </c>
    </row>
  </sheetData>
  <autoFilter ref="A1:R1"/>
  <hyperlinks>
    <hyperlink ref="L27" r:id="rId1"/>
    <hyperlink ref="L28" r:id="rId2"/>
  </hyperlinks>
  <pageMargins left="0.7" right="0.7" top="0.75" bottom="0.75" header="0.3" footer="0.3"/>
  <pageSetup orientation="portrait" r:id="rId3"/>
  <legacyDrawing r:id="rId4"/>
</worksheet>
</file>

<file path=xl/worksheets/sheet2.xml><?xml version="1.0" encoding="utf-8"?>
<worksheet xmlns="http://schemas.openxmlformats.org/spreadsheetml/2006/main" xmlns:r="http://schemas.openxmlformats.org/officeDocument/2006/relationships">
  <sheetPr codeName="Sheet3"/>
  <dimension ref="A1:S14"/>
  <sheetViews>
    <sheetView workbookViewId="0">
      <selection activeCell="T7" sqref="T7"/>
    </sheetView>
  </sheetViews>
  <sheetFormatPr defaultRowHeight="12.75"/>
  <cols>
    <col min="17" max="17" width="32.5703125" customWidth="1"/>
    <col min="18" max="18" width="11.28515625" customWidth="1"/>
    <col min="19" max="19" width="13.140625" customWidth="1"/>
  </cols>
  <sheetData>
    <row r="1" spans="1:19">
      <c r="A1" s="76" t="s">
        <v>166</v>
      </c>
      <c r="B1" s="44"/>
      <c r="C1" s="44"/>
      <c r="D1" s="44"/>
      <c r="E1" s="44"/>
      <c r="F1" s="44"/>
    </row>
    <row r="8" spans="1:19">
      <c r="Q8" s="8"/>
      <c r="R8" s="77"/>
      <c r="S8" s="78"/>
    </row>
    <row r="14" spans="1:19">
      <c r="S14" s="8"/>
    </row>
  </sheetData>
  <phoneticPr fontId="1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20" enableFormatConditionsCalculation="0">
    <tabColor rgb="FFFF0000"/>
  </sheetPr>
  <dimension ref="A1:H157"/>
  <sheetViews>
    <sheetView topLeftCell="C8" zoomScale="115" zoomScaleNormal="115" workbookViewId="0">
      <selection activeCell="F11" sqref="F11"/>
    </sheetView>
  </sheetViews>
  <sheetFormatPr defaultRowHeight="12.75"/>
  <cols>
    <col min="1" max="1" width="14.42578125" customWidth="1"/>
    <col min="2" max="2" width="38.85546875" customWidth="1"/>
    <col min="3" max="3" width="9.28515625" customWidth="1"/>
    <col min="4" max="4" width="41.42578125" customWidth="1"/>
    <col min="5" max="5" width="13.42578125" customWidth="1"/>
    <col min="6" max="6" width="87" customWidth="1"/>
    <col min="8" max="8" width="40" customWidth="1"/>
  </cols>
  <sheetData>
    <row r="1" spans="1:8">
      <c r="A1" t="s">
        <v>36</v>
      </c>
      <c r="B1" t="s">
        <v>41</v>
      </c>
    </row>
    <row r="4" spans="1:8">
      <c r="A4">
        <v>1</v>
      </c>
      <c r="B4">
        <v>2</v>
      </c>
      <c r="C4">
        <v>3</v>
      </c>
      <c r="D4">
        <v>4</v>
      </c>
      <c r="E4">
        <v>5</v>
      </c>
      <c r="F4">
        <v>6</v>
      </c>
      <c r="G4">
        <v>7</v>
      </c>
    </row>
    <row r="7" spans="1:8">
      <c r="D7" s="43" t="s">
        <v>40</v>
      </c>
    </row>
    <row r="8" spans="1:8" s="9" customFormat="1" ht="51">
      <c r="A8" s="32" t="s">
        <v>56</v>
      </c>
      <c r="B8" s="32" t="s">
        <v>80</v>
      </c>
      <c r="C8" s="32" t="s">
        <v>57</v>
      </c>
      <c r="D8" s="32" t="s">
        <v>81</v>
      </c>
      <c r="E8" s="32" t="s">
        <v>39</v>
      </c>
      <c r="F8" s="32" t="s">
        <v>44</v>
      </c>
      <c r="G8" s="32" t="s">
        <v>45</v>
      </c>
      <c r="H8" s="32" t="s">
        <v>3</v>
      </c>
    </row>
    <row r="9" spans="1:8">
      <c r="A9" s="13" t="s">
        <v>126</v>
      </c>
      <c r="B9" s="83" t="s">
        <v>126</v>
      </c>
      <c r="C9" s="13" t="s">
        <v>52</v>
      </c>
      <c r="D9" s="83" t="str">
        <f>CONCATENATE(B9," - ",C9)</f>
        <v>Lighting - New</v>
      </c>
      <c r="G9" s="1"/>
    </row>
    <row r="10" spans="1:8">
      <c r="A10" s="13" t="s">
        <v>126</v>
      </c>
      <c r="B10" s="83" t="s">
        <v>126</v>
      </c>
      <c r="C10" s="13" t="s">
        <v>53</v>
      </c>
      <c r="D10" s="83" t="str">
        <f t="shared" ref="D10:D70" si="0">CONCATENATE(B10," - ",C10)</f>
        <v>Lighting - NR</v>
      </c>
      <c r="G10" s="1"/>
    </row>
    <row r="11" spans="1:8">
      <c r="A11" s="13" t="s">
        <v>126</v>
      </c>
      <c r="B11" s="83" t="s">
        <v>126</v>
      </c>
      <c r="C11" s="13" t="s">
        <v>617</v>
      </c>
      <c r="D11" s="83" t="str">
        <f t="shared" si="0"/>
        <v>Lighting - PPA</v>
      </c>
      <c r="G11" s="1"/>
    </row>
    <row r="12" spans="1:8">
      <c r="A12" s="13" t="s">
        <v>184</v>
      </c>
      <c r="B12" s="83" t="s">
        <v>149</v>
      </c>
      <c r="C12" s="13" t="s">
        <v>52</v>
      </c>
      <c r="D12" s="83" t="str">
        <f t="shared" si="0"/>
        <v>Dishwasher - New</v>
      </c>
      <c r="G12" s="1"/>
    </row>
    <row r="13" spans="1:8">
      <c r="A13" s="13" t="s">
        <v>184</v>
      </c>
      <c r="B13" s="83" t="s">
        <v>149</v>
      </c>
      <c r="C13" s="13" t="s">
        <v>53</v>
      </c>
      <c r="D13" s="83" t="str">
        <f t="shared" si="0"/>
        <v>Dishwasher - NR</v>
      </c>
      <c r="G13" s="1"/>
    </row>
    <row r="14" spans="1:8">
      <c r="A14" s="13" t="s">
        <v>184</v>
      </c>
      <c r="B14" s="83" t="s">
        <v>571</v>
      </c>
      <c r="C14" s="13" t="s">
        <v>52</v>
      </c>
      <c r="D14" s="83" t="str">
        <f t="shared" si="0"/>
        <v>Clothes Washer - New</v>
      </c>
      <c r="G14" s="1"/>
    </row>
    <row r="15" spans="1:8">
      <c r="A15" s="13" t="s">
        <v>184</v>
      </c>
      <c r="B15" s="83" t="s">
        <v>571</v>
      </c>
      <c r="C15" s="13" t="s">
        <v>53</v>
      </c>
      <c r="D15" s="83" t="str">
        <f t="shared" si="0"/>
        <v>Clothes Washer - NR</v>
      </c>
      <c r="G15" s="1"/>
    </row>
    <row r="16" spans="1:8">
      <c r="A16" s="13" t="s">
        <v>184</v>
      </c>
      <c r="B16" s="83" t="s">
        <v>569</v>
      </c>
      <c r="C16" s="13" t="s">
        <v>52</v>
      </c>
      <c r="D16" s="83" t="str">
        <f t="shared" si="0"/>
        <v>WasteWater Heat Recovery - New</v>
      </c>
      <c r="G16" s="1"/>
    </row>
    <row r="17" spans="1:7">
      <c r="A17" s="13" t="s">
        <v>184</v>
      </c>
      <c r="B17" s="83" t="s">
        <v>365</v>
      </c>
      <c r="C17" s="13" t="s">
        <v>52</v>
      </c>
      <c r="D17" s="83" t="str">
        <f t="shared" si="0"/>
        <v>Showerheads - New</v>
      </c>
      <c r="G17" s="1"/>
    </row>
    <row r="18" spans="1:7">
      <c r="A18" s="13" t="s">
        <v>184</v>
      </c>
      <c r="B18" s="83" t="s">
        <v>365</v>
      </c>
      <c r="C18" s="13" t="s">
        <v>54</v>
      </c>
      <c r="D18" s="83" t="str">
        <f t="shared" si="0"/>
        <v>Showerheads - Retro</v>
      </c>
      <c r="G18" s="1"/>
    </row>
    <row r="19" spans="1:7">
      <c r="A19" s="13" t="s">
        <v>184</v>
      </c>
      <c r="B19" s="84" t="s">
        <v>465</v>
      </c>
      <c r="C19" s="13" t="s">
        <v>52</v>
      </c>
      <c r="D19" s="83" t="str">
        <f t="shared" si="0"/>
        <v>HPWH - New</v>
      </c>
      <c r="G19" s="1"/>
    </row>
    <row r="20" spans="1:7">
      <c r="A20" s="13" t="s">
        <v>184</v>
      </c>
      <c r="B20" s="84" t="s">
        <v>465</v>
      </c>
      <c r="C20" s="13" t="s">
        <v>53</v>
      </c>
      <c r="D20" s="83" t="str">
        <f t="shared" si="0"/>
        <v>HPWH - NR</v>
      </c>
      <c r="G20" s="1"/>
    </row>
    <row r="21" spans="1:7">
      <c r="A21" s="13" t="s">
        <v>341</v>
      </c>
      <c r="B21" s="90" t="s">
        <v>570</v>
      </c>
      <c r="C21" s="13" t="s">
        <v>53</v>
      </c>
      <c r="D21" s="90" t="str">
        <f t="shared" si="0"/>
        <v>EV Supply Equip - NR</v>
      </c>
    </row>
    <row r="22" spans="1:7">
      <c r="A22" s="13" t="s">
        <v>535</v>
      </c>
      <c r="B22" s="83" t="s">
        <v>352</v>
      </c>
      <c r="C22" s="13" t="s">
        <v>52</v>
      </c>
      <c r="D22" s="83" t="str">
        <f t="shared" si="0"/>
        <v>Clothes Dryer - New</v>
      </c>
      <c r="G22" s="62"/>
    </row>
    <row r="23" spans="1:7">
      <c r="A23" s="13" t="s">
        <v>535</v>
      </c>
      <c r="B23" s="83" t="s">
        <v>352</v>
      </c>
      <c r="C23" s="13" t="s">
        <v>53</v>
      </c>
      <c r="D23" s="83" t="str">
        <f t="shared" si="0"/>
        <v>Clothes Dryer - NR</v>
      </c>
      <c r="G23" s="1"/>
    </row>
    <row r="24" spans="1:7">
      <c r="A24" s="13" t="s">
        <v>127</v>
      </c>
      <c r="B24" s="83" t="s">
        <v>148</v>
      </c>
      <c r="C24" s="13" t="s">
        <v>52</v>
      </c>
      <c r="D24" s="83" t="str">
        <f t="shared" si="0"/>
        <v>Refrigerator - New</v>
      </c>
      <c r="G24" s="62"/>
    </row>
    <row r="25" spans="1:7">
      <c r="A25" s="13" t="s">
        <v>127</v>
      </c>
      <c r="B25" s="83" t="s">
        <v>148</v>
      </c>
      <c r="C25" s="13" t="s">
        <v>53</v>
      </c>
      <c r="D25" s="83" t="str">
        <f t="shared" si="0"/>
        <v>Refrigerator - NR</v>
      </c>
      <c r="G25" s="1"/>
    </row>
    <row r="26" spans="1:7">
      <c r="A26" s="13" t="s">
        <v>127</v>
      </c>
      <c r="B26" s="83" t="s">
        <v>128</v>
      </c>
      <c r="C26" s="13" t="s">
        <v>52</v>
      </c>
      <c r="D26" s="83" t="str">
        <f t="shared" si="0"/>
        <v>Freezer - New</v>
      </c>
      <c r="G26" s="1"/>
    </row>
    <row r="27" spans="1:7">
      <c r="A27" s="13" t="s">
        <v>127</v>
      </c>
      <c r="B27" s="83" t="s">
        <v>128</v>
      </c>
      <c r="C27" s="13" t="s">
        <v>53</v>
      </c>
      <c r="D27" s="83" t="str">
        <f t="shared" si="0"/>
        <v>Freezer - NR</v>
      </c>
      <c r="G27" s="1"/>
    </row>
    <row r="28" spans="1:7">
      <c r="A28" s="13" t="s">
        <v>184</v>
      </c>
      <c r="B28" s="83" t="s">
        <v>572</v>
      </c>
      <c r="C28" s="13" t="s">
        <v>52</v>
      </c>
      <c r="D28" s="83" t="str">
        <f t="shared" si="0"/>
        <v>Solar Water Heater - New</v>
      </c>
      <c r="G28" s="1"/>
    </row>
    <row r="29" spans="1:7">
      <c r="A29" s="13" t="s">
        <v>184</v>
      </c>
      <c r="B29" s="83" t="s">
        <v>572</v>
      </c>
      <c r="C29" s="13" t="s">
        <v>53</v>
      </c>
      <c r="D29" s="83" t="str">
        <f t="shared" si="0"/>
        <v>Solar Water Heater - NR</v>
      </c>
      <c r="G29" s="1"/>
    </row>
    <row r="30" spans="1:7">
      <c r="A30" s="13" t="s">
        <v>184</v>
      </c>
      <c r="B30" s="83" t="s">
        <v>572</v>
      </c>
      <c r="C30" s="13" t="s">
        <v>54</v>
      </c>
      <c r="D30" s="83" t="str">
        <f t="shared" ref="D30" si="1">CONCATENATE(B30," - ",C30)</f>
        <v>Solar Water Heater - Retro</v>
      </c>
      <c r="G30" s="1"/>
    </row>
    <row r="31" spans="1:7">
      <c r="A31" s="13"/>
      <c r="B31" s="83"/>
      <c r="C31" s="13"/>
      <c r="D31" s="83"/>
      <c r="G31" s="1"/>
    </row>
    <row r="32" spans="1:7">
      <c r="A32" s="13"/>
      <c r="B32" s="83"/>
      <c r="C32" s="13"/>
      <c r="D32" s="83"/>
      <c r="G32" s="62"/>
    </row>
    <row r="33" spans="1:7">
      <c r="A33" s="13" t="s">
        <v>333</v>
      </c>
      <c r="B33" s="83" t="s">
        <v>151</v>
      </c>
      <c r="C33" s="13" t="s">
        <v>52</v>
      </c>
      <c r="D33" s="83" t="str">
        <f t="shared" ref="D33:D34" si="2">CONCATENATE(B33," - ",C33)</f>
        <v>Electric Oven - New</v>
      </c>
      <c r="G33" s="62"/>
    </row>
    <row r="34" spans="1:7">
      <c r="A34" s="13" t="s">
        <v>333</v>
      </c>
      <c r="B34" s="83" t="s">
        <v>151</v>
      </c>
      <c r="C34" s="13" t="s">
        <v>53</v>
      </c>
      <c r="D34" s="83" t="str">
        <f t="shared" si="2"/>
        <v>Electric Oven - NR</v>
      </c>
      <c r="G34" s="62"/>
    </row>
    <row r="35" spans="1:7">
      <c r="A35" s="13" t="s">
        <v>333</v>
      </c>
      <c r="B35" s="83" t="s">
        <v>150</v>
      </c>
      <c r="C35" s="13" t="s">
        <v>52</v>
      </c>
      <c r="D35" s="83" t="str">
        <f t="shared" si="0"/>
        <v>Microwave - New</v>
      </c>
      <c r="G35" s="1"/>
    </row>
    <row r="36" spans="1:7">
      <c r="A36" s="13" t="s">
        <v>333</v>
      </c>
      <c r="B36" s="83" t="s">
        <v>150</v>
      </c>
      <c r="C36" s="13" t="s">
        <v>53</v>
      </c>
      <c r="D36" s="83" t="str">
        <f t="shared" ref="D36" si="3">CONCATENATE(B36," - ",C36)</f>
        <v>Microwave - NR</v>
      </c>
      <c r="G36" s="1"/>
    </row>
    <row r="37" spans="1:7">
      <c r="A37" s="13" t="s">
        <v>331</v>
      </c>
      <c r="B37" s="83" t="s">
        <v>155</v>
      </c>
      <c r="C37" s="13" t="s">
        <v>52</v>
      </c>
      <c r="D37" s="83" t="str">
        <f t="shared" si="0"/>
        <v>Monitor - New</v>
      </c>
      <c r="G37" s="62"/>
    </row>
    <row r="38" spans="1:7">
      <c r="A38" s="13" t="s">
        <v>331</v>
      </c>
      <c r="B38" s="83" t="s">
        <v>155</v>
      </c>
      <c r="C38" s="13" t="s">
        <v>53</v>
      </c>
      <c r="D38" s="83" t="str">
        <f t="shared" si="0"/>
        <v>Monitor - NR</v>
      </c>
      <c r="G38" s="1"/>
    </row>
    <row r="39" spans="1:7">
      <c r="A39" s="13" t="s">
        <v>331</v>
      </c>
      <c r="B39" s="83" t="s">
        <v>409</v>
      </c>
      <c r="C39" s="13" t="s">
        <v>52</v>
      </c>
      <c r="D39" s="83" t="str">
        <f t="shared" si="0"/>
        <v>Desktop - New</v>
      </c>
      <c r="G39" s="1"/>
    </row>
    <row r="40" spans="1:7">
      <c r="A40" s="13" t="s">
        <v>331</v>
      </c>
      <c r="B40" s="83" t="s">
        <v>409</v>
      </c>
      <c r="C40" s="13" t="s">
        <v>53</v>
      </c>
      <c r="D40" s="83" t="str">
        <f t="shared" si="0"/>
        <v>Desktop - NR</v>
      </c>
      <c r="G40" s="1"/>
    </row>
    <row r="41" spans="1:7">
      <c r="A41" s="13" t="s">
        <v>331</v>
      </c>
      <c r="B41" s="83" t="s">
        <v>410</v>
      </c>
      <c r="C41" s="13" t="s">
        <v>52</v>
      </c>
      <c r="D41" s="83" t="str">
        <f t="shared" ref="D41:D44" si="4">CONCATENATE(B41," - ",C41)</f>
        <v>Laptop - New</v>
      </c>
      <c r="G41" s="1"/>
    </row>
    <row r="42" spans="1:7">
      <c r="A42" s="13" t="s">
        <v>331</v>
      </c>
      <c r="B42" s="83" t="s">
        <v>410</v>
      </c>
      <c r="C42" s="13" t="s">
        <v>53</v>
      </c>
      <c r="D42" s="83" t="str">
        <f t="shared" si="4"/>
        <v>Laptop - NR</v>
      </c>
      <c r="G42" s="1"/>
    </row>
    <row r="43" spans="1:7">
      <c r="A43" s="13" t="s">
        <v>331</v>
      </c>
      <c r="B43" s="90" t="s">
        <v>154</v>
      </c>
      <c r="C43" s="13" t="s">
        <v>52</v>
      </c>
      <c r="D43" s="83" t="str">
        <f t="shared" si="4"/>
        <v>Computer - New</v>
      </c>
      <c r="G43" s="1"/>
    </row>
    <row r="44" spans="1:7">
      <c r="A44" s="13" t="s">
        <v>331</v>
      </c>
      <c r="B44" s="90" t="s">
        <v>154</v>
      </c>
      <c r="C44" s="13" t="s">
        <v>53</v>
      </c>
      <c r="D44" s="83" t="str">
        <f t="shared" si="4"/>
        <v>Computer - NR</v>
      </c>
      <c r="G44" s="1"/>
    </row>
    <row r="45" spans="1:7">
      <c r="A45" s="13" t="s">
        <v>55</v>
      </c>
      <c r="B45" s="83" t="s">
        <v>421</v>
      </c>
      <c r="C45" s="13" t="s">
        <v>52</v>
      </c>
      <c r="D45" s="83" t="str">
        <f t="shared" si="0"/>
        <v>ASHP - New</v>
      </c>
      <c r="G45" s="1"/>
    </row>
    <row r="46" spans="1:7">
      <c r="A46" s="13" t="s">
        <v>55</v>
      </c>
      <c r="B46" s="83" t="s">
        <v>421</v>
      </c>
      <c r="C46" s="13" t="s">
        <v>53</v>
      </c>
      <c r="D46" s="83" t="str">
        <f t="shared" si="0"/>
        <v>ASHP - NR</v>
      </c>
      <c r="G46" s="1"/>
    </row>
    <row r="47" spans="1:7">
      <c r="A47" s="13" t="s">
        <v>55</v>
      </c>
      <c r="B47" s="83" t="s">
        <v>460</v>
      </c>
      <c r="C47" s="13" t="s">
        <v>54</v>
      </c>
      <c r="D47" s="83" t="str">
        <f t="shared" si="0"/>
        <v>HP - Retro</v>
      </c>
      <c r="G47" s="1"/>
    </row>
    <row r="48" spans="1:7">
      <c r="A48" s="13" t="s">
        <v>55</v>
      </c>
      <c r="B48" s="84" t="s">
        <v>461</v>
      </c>
      <c r="C48" s="13" t="s">
        <v>52</v>
      </c>
      <c r="D48" s="83" t="str">
        <f t="shared" si="0"/>
        <v>DHP - New</v>
      </c>
      <c r="G48" s="1"/>
    </row>
    <row r="49" spans="1:7">
      <c r="A49" s="13" t="s">
        <v>55</v>
      </c>
      <c r="B49" s="84" t="s">
        <v>461</v>
      </c>
      <c r="C49" s="13" t="s">
        <v>53</v>
      </c>
      <c r="D49" s="83" t="str">
        <f t="shared" si="0"/>
        <v>DHP - NR</v>
      </c>
      <c r="G49" s="1"/>
    </row>
    <row r="50" spans="1:7">
      <c r="A50" s="13" t="s">
        <v>55</v>
      </c>
      <c r="B50" s="84" t="s">
        <v>461</v>
      </c>
      <c r="C50" s="13" t="s">
        <v>54</v>
      </c>
      <c r="D50" s="83" t="str">
        <f t="shared" si="0"/>
        <v>DHP - Retro</v>
      </c>
      <c r="G50" s="1"/>
    </row>
    <row r="51" spans="1:7">
      <c r="A51" s="13" t="s">
        <v>55</v>
      </c>
      <c r="B51" s="83" t="s">
        <v>357</v>
      </c>
      <c r="C51" s="13" t="s">
        <v>52</v>
      </c>
      <c r="D51" s="83" t="str">
        <f t="shared" si="0"/>
        <v>Duct Sealing - New</v>
      </c>
      <c r="G51" s="1"/>
    </row>
    <row r="52" spans="1:7">
      <c r="A52" s="13" t="s">
        <v>55</v>
      </c>
      <c r="B52" s="8" t="s">
        <v>357</v>
      </c>
      <c r="C52" s="13" t="s">
        <v>54</v>
      </c>
      <c r="D52" s="83" t="str">
        <f t="shared" si="0"/>
        <v>Duct Sealing - Retro</v>
      </c>
      <c r="G52" s="1"/>
    </row>
    <row r="53" spans="1:7">
      <c r="A53" s="13" t="s">
        <v>55</v>
      </c>
      <c r="B53" s="8" t="s">
        <v>206</v>
      </c>
      <c r="C53" s="13" t="s">
        <v>52</v>
      </c>
      <c r="D53" s="83" t="str">
        <f t="shared" si="0"/>
        <v>WIFI enabled tstats - New</v>
      </c>
      <c r="G53" s="1"/>
    </row>
    <row r="54" spans="1:7">
      <c r="A54" s="13" t="s">
        <v>55</v>
      </c>
      <c r="B54" s="8" t="s">
        <v>206</v>
      </c>
      <c r="C54" s="13" t="s">
        <v>54</v>
      </c>
      <c r="D54" s="83" t="str">
        <f t="shared" si="0"/>
        <v>WIFI enabled tstats - Retro</v>
      </c>
      <c r="G54" s="1"/>
    </row>
    <row r="55" spans="1:7">
      <c r="A55" s="13" t="s">
        <v>55</v>
      </c>
      <c r="B55" s="84" t="s">
        <v>131</v>
      </c>
      <c r="C55" s="13" t="s">
        <v>52</v>
      </c>
      <c r="D55" s="83" t="str">
        <f t="shared" si="0"/>
        <v>Combo DHP/HPWH units - New</v>
      </c>
      <c r="G55" s="1"/>
    </row>
    <row r="56" spans="1:7">
      <c r="A56" s="13" t="s">
        <v>55</v>
      </c>
      <c r="B56" s="84" t="s">
        <v>131</v>
      </c>
      <c r="C56" s="13" t="s">
        <v>53</v>
      </c>
      <c r="D56" s="83" t="str">
        <f t="shared" si="0"/>
        <v>Combo DHP/HPWH units - NR</v>
      </c>
      <c r="G56" s="1"/>
    </row>
    <row r="57" spans="1:7">
      <c r="A57" s="13" t="s">
        <v>55</v>
      </c>
      <c r="B57" s="84" t="s">
        <v>131</v>
      </c>
      <c r="C57" s="13" t="s">
        <v>54</v>
      </c>
      <c r="D57" s="83" t="str">
        <f t="shared" si="0"/>
        <v>Combo DHP/HPWH units - Retro</v>
      </c>
      <c r="G57" s="1"/>
    </row>
    <row r="58" spans="1:7">
      <c r="A58" s="13" t="s">
        <v>184</v>
      </c>
      <c r="B58" s="84" t="s">
        <v>179</v>
      </c>
      <c r="C58" s="13" t="s">
        <v>52</v>
      </c>
      <c r="D58" s="83" t="str">
        <f t="shared" ref="D58" si="5">CONCATENATE(B58," - ",C58)</f>
        <v>Aerator - New</v>
      </c>
      <c r="G58" s="1"/>
    </row>
    <row r="59" spans="1:7">
      <c r="A59" s="13" t="s">
        <v>184</v>
      </c>
      <c r="B59" s="84" t="s">
        <v>179</v>
      </c>
      <c r="C59" s="13" t="s">
        <v>54</v>
      </c>
      <c r="D59" s="83" t="str">
        <f t="shared" si="0"/>
        <v>Aerator - Retro</v>
      </c>
      <c r="G59" s="1"/>
    </row>
    <row r="60" spans="1:7">
      <c r="A60" s="13" t="s">
        <v>184</v>
      </c>
      <c r="B60" s="84" t="s">
        <v>132</v>
      </c>
      <c r="C60" s="13" t="s">
        <v>54</v>
      </c>
      <c r="D60" s="83" t="str">
        <f t="shared" si="0"/>
        <v>Behavior - Retro</v>
      </c>
      <c r="G60" s="1"/>
    </row>
    <row r="61" spans="1:7">
      <c r="A61" s="13" t="s">
        <v>184</v>
      </c>
      <c r="B61" s="90" t="s">
        <v>132</v>
      </c>
      <c r="C61" s="13" t="s">
        <v>52</v>
      </c>
      <c r="D61" s="90" t="str">
        <f t="shared" si="0"/>
        <v>Behavior - New</v>
      </c>
      <c r="G61" s="1"/>
    </row>
    <row r="62" spans="1:7">
      <c r="A62" s="13"/>
      <c r="B62" s="84"/>
      <c r="C62" s="13"/>
      <c r="D62" s="83"/>
      <c r="G62" s="1"/>
    </row>
    <row r="63" spans="1:7">
      <c r="A63" s="13" t="s">
        <v>55</v>
      </c>
      <c r="B63" s="84" t="s">
        <v>616</v>
      </c>
      <c r="C63" s="13" t="s">
        <v>52</v>
      </c>
      <c r="D63" s="83" t="str">
        <f t="shared" ref="D63:D65" si="6">CONCATENATE(B63," - ",C63)</f>
        <v>Heat Recovery Ventilation - New</v>
      </c>
      <c r="G63" s="1"/>
    </row>
    <row r="64" spans="1:7">
      <c r="A64" s="13" t="s">
        <v>55</v>
      </c>
      <c r="B64" s="90" t="s">
        <v>537</v>
      </c>
      <c r="C64" s="13" t="s">
        <v>52</v>
      </c>
      <c r="D64" s="90" t="str">
        <f t="shared" si="6"/>
        <v>GSHP - New</v>
      </c>
      <c r="G64" s="1"/>
    </row>
    <row r="65" spans="1:7">
      <c r="A65" s="13" t="s">
        <v>55</v>
      </c>
      <c r="B65" s="90" t="s">
        <v>537</v>
      </c>
      <c r="C65" s="13" t="s">
        <v>53</v>
      </c>
      <c r="D65" s="90" t="str">
        <f t="shared" si="6"/>
        <v>GSHP - NR</v>
      </c>
      <c r="G65" s="1"/>
    </row>
    <row r="66" spans="1:7">
      <c r="A66" s="13"/>
      <c r="B66" s="84"/>
      <c r="C66" s="13" t="s">
        <v>54</v>
      </c>
      <c r="D66" s="83"/>
      <c r="G66" s="1"/>
    </row>
    <row r="67" spans="1:7">
      <c r="A67" s="13" t="s">
        <v>55</v>
      </c>
      <c r="B67" s="84" t="s">
        <v>133</v>
      </c>
      <c r="C67" s="13" t="s">
        <v>52</v>
      </c>
      <c r="D67" s="83" t="str">
        <f t="shared" si="0"/>
        <v>ECM for HVAC ventilation - New</v>
      </c>
      <c r="G67" s="1"/>
    </row>
    <row r="68" spans="1:7">
      <c r="A68" s="13" t="s">
        <v>55</v>
      </c>
      <c r="B68" s="84" t="s">
        <v>133</v>
      </c>
      <c r="C68" s="13" t="s">
        <v>53</v>
      </c>
      <c r="D68" s="83" t="str">
        <f t="shared" si="0"/>
        <v>ECM for HVAC ventilation - NR</v>
      </c>
      <c r="G68" s="1"/>
    </row>
    <row r="69" spans="1:7">
      <c r="A69" s="13" t="s">
        <v>55</v>
      </c>
      <c r="B69" s="84" t="s">
        <v>161</v>
      </c>
      <c r="C69" s="13" t="s">
        <v>52</v>
      </c>
      <c r="D69" s="83" t="str">
        <f t="shared" si="0"/>
        <v>Whole house/attic fan - New</v>
      </c>
      <c r="G69" s="1"/>
    </row>
    <row r="70" spans="1:7">
      <c r="A70" s="13" t="s">
        <v>55</v>
      </c>
      <c r="B70" s="84" t="s">
        <v>161</v>
      </c>
      <c r="C70" s="13" t="s">
        <v>54</v>
      </c>
      <c r="D70" s="83" t="str">
        <f t="shared" si="0"/>
        <v>Whole house/attic fan - Retro</v>
      </c>
      <c r="G70" s="1"/>
    </row>
    <row r="71" spans="1:7">
      <c r="A71" s="13" t="s">
        <v>536</v>
      </c>
      <c r="B71" s="84" t="s">
        <v>134</v>
      </c>
      <c r="C71" s="13" t="s">
        <v>54</v>
      </c>
      <c r="D71" s="83" t="str">
        <f t="shared" ref="D71:D81" si="7">CONCATENATE(B71," - ",C71)</f>
        <v>WH Pipe insulation - Retro</v>
      </c>
      <c r="G71" s="1"/>
    </row>
    <row r="72" spans="1:7">
      <c r="A72" s="13" t="s">
        <v>55</v>
      </c>
      <c r="B72" s="84" t="s">
        <v>474</v>
      </c>
      <c r="C72" s="13" t="s">
        <v>53</v>
      </c>
      <c r="D72" s="84" t="str">
        <f t="shared" si="7"/>
        <v>DHP Ducted - NR</v>
      </c>
      <c r="G72" s="1"/>
    </row>
    <row r="73" spans="1:7">
      <c r="A73" s="13" t="s">
        <v>331</v>
      </c>
      <c r="B73" s="90" t="s">
        <v>130</v>
      </c>
      <c r="C73" s="13" t="s">
        <v>52</v>
      </c>
      <c r="D73" s="90" t="str">
        <f t="shared" si="7"/>
        <v>Advanced Power Strips - New</v>
      </c>
      <c r="G73" s="1"/>
    </row>
    <row r="74" spans="1:7">
      <c r="A74" s="13" t="s">
        <v>331</v>
      </c>
      <c r="B74" s="90" t="s">
        <v>130</v>
      </c>
      <c r="C74" s="13" t="s">
        <v>54</v>
      </c>
      <c r="D74" s="90" t="str">
        <f t="shared" si="7"/>
        <v>Advanced Power Strips - Retro</v>
      </c>
      <c r="G74" s="1"/>
    </row>
    <row r="75" spans="1:7">
      <c r="A75" s="13" t="s">
        <v>55</v>
      </c>
      <c r="B75" s="89" t="s">
        <v>437</v>
      </c>
      <c r="C75" s="13" t="s">
        <v>52</v>
      </c>
      <c r="D75" s="90" t="str">
        <f>CONCATENATE(B75," - ",C75)</f>
        <v>Controls Commissioning and Sizing - New</v>
      </c>
    </row>
    <row r="76" spans="1:7">
      <c r="A76" s="13" t="s">
        <v>55</v>
      </c>
      <c r="B76" s="89" t="s">
        <v>437</v>
      </c>
      <c r="C76" s="13" t="s">
        <v>53</v>
      </c>
      <c r="D76" s="90" t="str">
        <f>CONCATENATE(B76," - ",C76)</f>
        <v>Controls Commissioning and Sizing - NR</v>
      </c>
    </row>
    <row r="77" spans="1:7">
      <c r="A77" s="13" t="s">
        <v>55</v>
      </c>
      <c r="B77" t="s">
        <v>177</v>
      </c>
      <c r="C77" s="13" t="s">
        <v>54</v>
      </c>
      <c r="D77" s="83" t="str">
        <f t="shared" si="7"/>
        <v>ResWx - Retro</v>
      </c>
    </row>
    <row r="78" spans="1:7">
      <c r="A78" s="13"/>
      <c r="B78" s="89" t="s">
        <v>416</v>
      </c>
      <c r="C78" s="13" t="s">
        <v>54</v>
      </c>
      <c r="D78" s="83" t="str">
        <f t="shared" ref="D78:D80" si="8">CONCATENATE(B78," - ",C78)</f>
        <v>ATTIC R0 - R19 - Retro</v>
      </c>
      <c r="G78" s="1"/>
    </row>
    <row r="79" spans="1:7">
      <c r="A79" s="13"/>
      <c r="B79" s="89" t="s">
        <v>471</v>
      </c>
      <c r="C79" s="13" t="s">
        <v>54</v>
      </c>
      <c r="D79" s="83" t="str">
        <f t="shared" si="8"/>
        <v>ATTIC R0 - R22 - Retro</v>
      </c>
      <c r="G79" s="1"/>
    </row>
    <row r="80" spans="1:7">
      <c r="A80" s="13"/>
      <c r="B80" s="89" t="s">
        <v>420</v>
      </c>
      <c r="C80" s="13" t="s">
        <v>54</v>
      </c>
      <c r="D80" s="83" t="str">
        <f t="shared" si="8"/>
        <v>ATTIC R0 - R30 - Retro</v>
      </c>
      <c r="G80" s="1"/>
    </row>
    <row r="81" spans="1:7">
      <c r="A81" s="13"/>
      <c r="B81" s="89" t="s">
        <v>304</v>
      </c>
      <c r="C81" s="13" t="s">
        <v>54</v>
      </c>
      <c r="D81" s="83" t="str">
        <f t="shared" si="7"/>
        <v>ATTIC R0 - R38 - Retro</v>
      </c>
      <c r="G81" s="1"/>
    </row>
    <row r="82" spans="1:7">
      <c r="A82" s="10"/>
      <c r="B82" s="89" t="s">
        <v>305</v>
      </c>
      <c r="C82" s="13" t="s">
        <v>54</v>
      </c>
      <c r="D82" s="83" t="str">
        <f t="shared" ref="D82:D98" si="9">CONCATENATE(B82," - ",C82)</f>
        <v>ATTIC R0 - R49 - Retro</v>
      </c>
      <c r="G82" s="1"/>
    </row>
    <row r="83" spans="1:7">
      <c r="A83" s="10"/>
      <c r="B83" s="89" t="s">
        <v>472</v>
      </c>
      <c r="C83" s="13" t="s">
        <v>54</v>
      </c>
      <c r="D83" s="83" t="str">
        <f t="shared" ref="D83" si="10">CONCATENATE(B83," - ",C83)</f>
        <v>ATTIC R11 - R30 - Retro</v>
      </c>
      <c r="G83" s="1"/>
    </row>
    <row r="84" spans="1:7">
      <c r="A84" s="10"/>
      <c r="B84" s="89" t="s">
        <v>306</v>
      </c>
      <c r="C84" s="13" t="s">
        <v>54</v>
      </c>
      <c r="D84" s="83" t="str">
        <f t="shared" si="9"/>
        <v>ATTIC R11 - R38 - Retro</v>
      </c>
      <c r="G84" s="1"/>
    </row>
    <row r="85" spans="1:7">
      <c r="A85" s="10"/>
      <c r="B85" s="89" t="s">
        <v>307</v>
      </c>
      <c r="C85" s="13" t="s">
        <v>54</v>
      </c>
      <c r="D85" s="83" t="str">
        <f t="shared" si="9"/>
        <v>ATTIC R11 - R49 - Retro</v>
      </c>
      <c r="G85" s="1"/>
    </row>
    <row r="86" spans="1:7">
      <c r="A86" s="10"/>
      <c r="B86" s="89" t="s">
        <v>417</v>
      </c>
      <c r="C86" s="13" t="s">
        <v>54</v>
      </c>
      <c r="D86" s="83" t="str">
        <f t="shared" ref="D86" si="11">CONCATENATE(B86," - ",C86)</f>
        <v>ATTIC R19 - R30 - Retro</v>
      </c>
      <c r="G86" s="1"/>
    </row>
    <row r="87" spans="1:7">
      <c r="A87" s="10"/>
      <c r="B87" s="89" t="s">
        <v>308</v>
      </c>
      <c r="C87" s="13" t="s">
        <v>54</v>
      </c>
      <c r="D87" s="83" t="str">
        <f t="shared" si="9"/>
        <v>ATTIC R19 - R38 - Retro</v>
      </c>
      <c r="G87" s="1"/>
    </row>
    <row r="88" spans="1:7">
      <c r="A88" s="10"/>
      <c r="B88" s="89" t="s">
        <v>309</v>
      </c>
      <c r="C88" s="13" t="s">
        <v>54</v>
      </c>
      <c r="D88" s="83" t="str">
        <f t="shared" si="9"/>
        <v>ATTIC R19 - R49 - Retro</v>
      </c>
      <c r="G88" s="1"/>
    </row>
    <row r="89" spans="1:7">
      <c r="A89" s="10"/>
      <c r="B89" s="89" t="s">
        <v>310</v>
      </c>
      <c r="C89" s="13" t="s">
        <v>54</v>
      </c>
      <c r="D89" s="83" t="str">
        <f t="shared" si="9"/>
        <v>WALL R0 - R11 - Retro</v>
      </c>
      <c r="G89" s="1"/>
    </row>
    <row r="90" spans="1:7">
      <c r="A90" s="10"/>
      <c r="B90" s="89" t="s">
        <v>311</v>
      </c>
      <c r="C90" s="13" t="s">
        <v>54</v>
      </c>
      <c r="D90" s="83" t="str">
        <f t="shared" ref="D90" si="12">CONCATENATE(B90," - ",C90)</f>
        <v>FLOOR R0 - R19 - Retro</v>
      </c>
      <c r="G90" s="1"/>
    </row>
    <row r="91" spans="1:7">
      <c r="A91" s="10"/>
      <c r="B91" s="89" t="s">
        <v>418</v>
      </c>
      <c r="C91" s="13" t="s">
        <v>54</v>
      </c>
      <c r="D91" s="83" t="str">
        <f t="shared" ref="D91:D97" si="13">CONCATENATE(B91," - ",C91)</f>
        <v>FLOOR R0 - R22 - Retro</v>
      </c>
      <c r="G91" s="1"/>
    </row>
    <row r="92" spans="1:7">
      <c r="A92" s="10"/>
      <c r="B92" s="89" t="s">
        <v>312</v>
      </c>
      <c r="C92" s="13" t="s">
        <v>54</v>
      </c>
      <c r="D92" s="83" t="str">
        <f t="shared" si="13"/>
        <v>FLOOR R0 - R25 - Retro</v>
      </c>
      <c r="G92" s="1"/>
    </row>
    <row r="93" spans="1:7">
      <c r="A93" s="10"/>
      <c r="B93" s="89" t="s">
        <v>313</v>
      </c>
      <c r="C93" s="13" t="s">
        <v>54</v>
      </c>
      <c r="D93" s="83" t="str">
        <f t="shared" si="13"/>
        <v>FLOOR R0 - R30 - Retro</v>
      </c>
      <c r="G93" s="1"/>
    </row>
    <row r="94" spans="1:7">
      <c r="A94" s="10"/>
      <c r="B94" s="89" t="s">
        <v>419</v>
      </c>
      <c r="C94" s="13" t="s">
        <v>54</v>
      </c>
      <c r="D94" s="83" t="str">
        <f t="shared" si="13"/>
        <v>FLOOR R11 - R22 - Retro</v>
      </c>
      <c r="G94" s="1"/>
    </row>
    <row r="95" spans="1:7">
      <c r="A95" s="10"/>
      <c r="B95" s="89" t="s">
        <v>314</v>
      </c>
      <c r="C95" s="13" t="s">
        <v>54</v>
      </c>
      <c r="D95" s="83" t="str">
        <f t="shared" si="13"/>
        <v>WINDOW CL30 Prime Window Replacement of Single Pane Base - Retro</v>
      </c>
      <c r="G95" s="1"/>
    </row>
    <row r="96" spans="1:7">
      <c r="A96" s="10"/>
      <c r="B96" s="89" t="s">
        <v>315</v>
      </c>
      <c r="C96" s="13" t="s">
        <v>54</v>
      </c>
      <c r="D96" s="83" t="str">
        <f t="shared" si="13"/>
        <v>WINDOW CL30 Prime Window Replacement of Double Pane Base - Retro</v>
      </c>
      <c r="G96" s="1"/>
    </row>
    <row r="97" spans="1:7">
      <c r="A97" s="10"/>
      <c r="B97" s="89" t="s">
        <v>316</v>
      </c>
      <c r="C97" s="13" t="s">
        <v>54</v>
      </c>
      <c r="D97" s="83" t="str">
        <f t="shared" si="13"/>
        <v>WINDOW CL22 Prime Window Replacement of Single Pane Base - Retro</v>
      </c>
      <c r="G97" s="1"/>
    </row>
    <row r="98" spans="1:7">
      <c r="A98" s="13"/>
      <c r="B98" s="89" t="s">
        <v>317</v>
      </c>
      <c r="C98" s="13" t="s">
        <v>54</v>
      </c>
      <c r="D98" s="83" t="str">
        <f t="shared" si="9"/>
        <v>WINDOW CL22 Prime Window Replacement of Double Pane Base - Retro</v>
      </c>
      <c r="G98" s="1"/>
    </row>
    <row r="99" spans="1:7">
      <c r="A99" s="10"/>
      <c r="B99" s="89" t="s">
        <v>318</v>
      </c>
      <c r="C99" s="13" t="s">
        <v>54</v>
      </c>
      <c r="D99" s="83" t="str">
        <f t="shared" ref="D99" si="14">CONCATENATE(B99," - ",C99)</f>
        <v>CFM50 Infiltration Reduction - Retro</v>
      </c>
    </row>
    <row r="100" spans="1:7">
      <c r="A100" s="10"/>
      <c r="B100" s="89"/>
      <c r="C100" s="13"/>
      <c r="D100" s="83"/>
    </row>
    <row r="101" spans="1:7">
      <c r="A101" s="10"/>
      <c r="B101" s="10"/>
      <c r="C101" s="13"/>
      <c r="D101" s="83"/>
    </row>
    <row r="102" spans="1:7">
      <c r="A102" s="10"/>
      <c r="B102" s="10"/>
      <c r="C102" s="13"/>
      <c r="D102" s="83"/>
    </row>
    <row r="103" spans="1:7">
      <c r="A103" s="10"/>
      <c r="B103" s="10"/>
      <c r="C103" s="13"/>
      <c r="D103" s="83"/>
    </row>
    <row r="104" spans="1:7">
      <c r="A104" s="10"/>
      <c r="B104" s="10"/>
      <c r="C104" s="13"/>
      <c r="D104" s="83"/>
    </row>
    <row r="105" spans="1:7">
      <c r="A105" s="10"/>
      <c r="B105" s="10"/>
      <c r="C105" s="13"/>
      <c r="D105" s="83"/>
    </row>
    <row r="106" spans="1:7">
      <c r="A106" s="10"/>
      <c r="B106" s="10"/>
      <c r="C106" s="13"/>
      <c r="D106" s="83"/>
    </row>
    <row r="107" spans="1:7">
      <c r="A107" s="10"/>
      <c r="B107" s="10"/>
      <c r="C107" s="13"/>
      <c r="D107" s="83"/>
    </row>
    <row r="108" spans="1:7">
      <c r="A108" s="10"/>
      <c r="B108" s="10"/>
      <c r="C108" s="13"/>
      <c r="D108" s="83"/>
    </row>
    <row r="109" spans="1:7">
      <c r="A109" s="10"/>
      <c r="B109" s="10"/>
      <c r="C109" s="13"/>
      <c r="D109" s="83"/>
    </row>
    <row r="110" spans="1:7">
      <c r="A110" s="10"/>
      <c r="B110" s="10"/>
      <c r="C110" s="13"/>
      <c r="D110" s="83"/>
    </row>
    <row r="111" spans="1:7">
      <c r="A111" s="10"/>
      <c r="B111" s="10"/>
      <c r="C111" s="13"/>
      <c r="D111" s="83"/>
    </row>
    <row r="112" spans="1:7">
      <c r="A112" s="10"/>
      <c r="B112" s="10"/>
      <c r="C112" s="13"/>
      <c r="D112" s="83"/>
    </row>
    <row r="113" spans="1:4">
      <c r="A113" s="10"/>
      <c r="B113" s="10"/>
      <c r="C113" s="13"/>
      <c r="D113" s="83"/>
    </row>
    <row r="114" spans="1:4">
      <c r="A114" s="10"/>
      <c r="B114" s="10"/>
      <c r="C114" s="13"/>
      <c r="D114" s="83"/>
    </row>
    <row r="115" spans="1:4">
      <c r="A115" s="10"/>
      <c r="B115" s="10"/>
      <c r="C115" s="13"/>
      <c r="D115" s="83"/>
    </row>
    <row r="116" spans="1:4">
      <c r="A116" s="10"/>
      <c r="B116" s="10"/>
      <c r="C116" s="13"/>
      <c r="D116" s="83"/>
    </row>
    <row r="117" spans="1:4">
      <c r="A117" s="10"/>
      <c r="B117" s="10"/>
      <c r="C117" s="13"/>
      <c r="D117" s="83"/>
    </row>
    <row r="118" spans="1:4">
      <c r="A118" s="10"/>
      <c r="B118" s="10"/>
      <c r="C118" s="13"/>
      <c r="D118" s="83"/>
    </row>
    <row r="119" spans="1:4">
      <c r="A119" s="10"/>
      <c r="B119" s="10"/>
      <c r="C119" s="13"/>
      <c r="D119" s="83"/>
    </row>
    <row r="120" spans="1:4">
      <c r="A120" s="10"/>
      <c r="B120" s="10"/>
      <c r="C120" s="13"/>
      <c r="D120" s="83"/>
    </row>
    <row r="121" spans="1:4">
      <c r="A121" s="10"/>
      <c r="B121" s="10"/>
      <c r="C121" s="13"/>
      <c r="D121" s="83"/>
    </row>
    <row r="122" spans="1:4">
      <c r="A122" s="10"/>
      <c r="B122" s="10"/>
      <c r="C122" s="13"/>
      <c r="D122" s="83"/>
    </row>
    <row r="123" spans="1:4">
      <c r="A123" s="10"/>
      <c r="B123" s="10"/>
      <c r="C123" s="13"/>
      <c r="D123" s="83"/>
    </row>
    <row r="124" spans="1:4">
      <c r="A124" s="10"/>
      <c r="B124" s="10"/>
      <c r="C124" s="13"/>
      <c r="D124" s="83"/>
    </row>
    <row r="125" spans="1:4">
      <c r="A125" s="10"/>
      <c r="B125" s="10"/>
      <c r="C125" s="13"/>
      <c r="D125" s="83"/>
    </row>
    <row r="126" spans="1:4">
      <c r="A126" s="10"/>
      <c r="B126" s="10"/>
      <c r="C126" s="13"/>
      <c r="D126" s="83"/>
    </row>
    <row r="127" spans="1:4">
      <c r="A127" s="10"/>
      <c r="B127" s="10"/>
      <c r="C127" s="13"/>
      <c r="D127" s="83"/>
    </row>
    <row r="128" spans="1:4">
      <c r="A128" s="10"/>
      <c r="B128" s="10"/>
      <c r="C128" s="13"/>
      <c r="D128" s="83"/>
    </row>
    <row r="129" spans="1:4">
      <c r="A129" s="10"/>
      <c r="B129" s="10"/>
      <c r="C129" s="13"/>
      <c r="D129" s="83"/>
    </row>
    <row r="130" spans="1:4">
      <c r="A130" s="10"/>
      <c r="B130" s="10"/>
      <c r="C130" s="13"/>
      <c r="D130" s="83"/>
    </row>
    <row r="131" spans="1:4">
      <c r="A131" s="10"/>
      <c r="B131" s="10"/>
      <c r="C131" s="13"/>
      <c r="D131" s="83"/>
    </row>
    <row r="132" spans="1:4">
      <c r="A132" s="10"/>
      <c r="B132" s="10"/>
      <c r="C132" s="13"/>
      <c r="D132" s="83"/>
    </row>
    <row r="133" spans="1:4">
      <c r="A133" s="10"/>
      <c r="B133" s="10"/>
      <c r="C133" s="13"/>
      <c r="D133" s="83"/>
    </row>
    <row r="134" spans="1:4" ht="13.5" thickBot="1">
      <c r="A134" s="115" t="s">
        <v>503</v>
      </c>
      <c r="B134" s="10"/>
      <c r="C134" s="13"/>
      <c r="D134" s="83"/>
    </row>
    <row r="135" spans="1:4" ht="13.5" thickTop="1">
      <c r="A135" s="116" t="s">
        <v>331</v>
      </c>
      <c r="B135" s="10"/>
      <c r="C135" s="13"/>
      <c r="D135" s="83"/>
    </row>
    <row r="136" spans="1:4">
      <c r="A136" s="116" t="s">
        <v>333</v>
      </c>
      <c r="B136" s="10"/>
      <c r="C136" s="13"/>
      <c r="D136" s="83"/>
    </row>
    <row r="137" spans="1:4">
      <c r="A137" s="116" t="s">
        <v>55</v>
      </c>
      <c r="B137" s="10"/>
      <c r="C137" s="13"/>
      <c r="D137" s="83"/>
    </row>
    <row r="138" spans="1:4">
      <c r="A138" s="116" t="s">
        <v>126</v>
      </c>
      <c r="B138" s="10"/>
      <c r="C138" s="13"/>
      <c r="D138" s="83"/>
    </row>
    <row r="139" spans="1:4">
      <c r="A139" s="116" t="s">
        <v>127</v>
      </c>
      <c r="B139" s="10"/>
      <c r="C139" s="13"/>
      <c r="D139" s="83"/>
    </row>
    <row r="140" spans="1:4">
      <c r="A140" s="116" t="s">
        <v>535</v>
      </c>
      <c r="B140" s="10"/>
      <c r="C140" s="13"/>
      <c r="D140" s="83"/>
    </row>
    <row r="141" spans="1:4">
      <c r="A141" s="116" t="s">
        <v>184</v>
      </c>
      <c r="B141" s="10"/>
      <c r="C141" s="13"/>
      <c r="D141" s="83"/>
    </row>
    <row r="142" spans="1:4">
      <c r="A142" s="116" t="s">
        <v>341</v>
      </c>
      <c r="B142" s="10"/>
      <c r="C142" s="13"/>
      <c r="D142" s="83"/>
    </row>
    <row r="143" spans="1:4">
      <c r="A143" s="10"/>
      <c r="B143" s="10"/>
      <c r="C143" s="13"/>
      <c r="D143" s="83"/>
    </row>
    <row r="144" spans="1:4">
      <c r="A144" s="10"/>
      <c r="B144" s="10"/>
      <c r="C144" s="13"/>
      <c r="D144" s="83"/>
    </row>
    <row r="145" spans="1:4">
      <c r="A145" s="10"/>
      <c r="B145" s="10"/>
      <c r="C145" s="13"/>
      <c r="D145" s="83"/>
    </row>
    <row r="146" spans="1:4">
      <c r="A146" s="10"/>
      <c r="B146" s="10"/>
      <c r="C146" s="13"/>
      <c r="D146" s="83"/>
    </row>
    <row r="147" spans="1:4">
      <c r="A147" s="10"/>
      <c r="B147" s="10"/>
      <c r="C147" s="13"/>
      <c r="D147" s="83"/>
    </row>
    <row r="148" spans="1:4">
      <c r="C148" s="13"/>
      <c r="D148" s="83"/>
    </row>
    <row r="149" spans="1:4">
      <c r="C149" s="13"/>
      <c r="D149" s="83"/>
    </row>
    <row r="150" spans="1:4">
      <c r="C150" s="13"/>
      <c r="D150" s="83"/>
    </row>
    <row r="151" spans="1:4">
      <c r="C151" s="13"/>
      <c r="D151" s="83"/>
    </row>
    <row r="152" spans="1:4">
      <c r="C152" s="13"/>
      <c r="D152" s="83"/>
    </row>
    <row r="153" spans="1:4">
      <c r="C153" s="13"/>
      <c r="D153" s="83"/>
    </row>
    <row r="154" spans="1:4">
      <c r="C154" s="13"/>
      <c r="D154" s="83"/>
    </row>
    <row r="155" spans="1:4">
      <c r="C155" s="13"/>
      <c r="D155" s="83"/>
    </row>
    <row r="156" spans="1:4">
      <c r="C156" s="13"/>
      <c r="D156" s="83"/>
    </row>
    <row r="157" spans="1:4">
      <c r="C157" s="13"/>
      <c r="D157" s="83"/>
    </row>
  </sheetData>
  <phoneticPr fontId="0" type="noConversion"/>
  <dataValidations count="1">
    <dataValidation type="list" allowBlank="1" showInputMessage="1" showErrorMessage="1" sqref="A9:A77">
      <formula1>$A$135:$A$142</formula1>
    </dataValidation>
  </dataValidation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14" enableFormatConditionsCalculation="0">
    <tabColor indexed="43"/>
  </sheetPr>
  <dimension ref="A1:S105"/>
  <sheetViews>
    <sheetView tabSelected="1" topLeftCell="B1" workbookViewId="0">
      <pane xSplit="2" ySplit="9" topLeftCell="D58" activePane="bottomRight" state="frozen"/>
      <selection activeCell="B1" sqref="B1"/>
      <selection pane="topRight" activeCell="D1" sqref="D1"/>
      <selection pane="bottomLeft" activeCell="B10" sqref="B10"/>
      <selection pane="bottomRight" activeCell="F67" sqref="F67"/>
    </sheetView>
  </sheetViews>
  <sheetFormatPr defaultRowHeight="12.75"/>
  <cols>
    <col min="1" max="1" width="18" customWidth="1"/>
    <col min="2" max="2" width="42.42578125" customWidth="1"/>
    <col min="3" max="3" width="38.28515625" customWidth="1"/>
    <col min="4" max="4" width="10.7109375" customWidth="1"/>
    <col min="5" max="5" width="8.5703125" customWidth="1"/>
    <col min="6" max="6" width="31.140625" customWidth="1"/>
    <col min="7" max="7" width="11.85546875" customWidth="1"/>
    <col min="8" max="8" width="13.140625" customWidth="1"/>
    <col min="9" max="9" width="9.42578125" customWidth="1"/>
    <col min="10" max="10" width="10.5703125" style="1" customWidth="1"/>
    <col min="11" max="11" width="12.140625" style="1" customWidth="1"/>
    <col min="12" max="12" width="13.42578125" customWidth="1"/>
    <col min="13" max="13" width="13" style="9" customWidth="1"/>
    <col min="14" max="14" width="28.42578125" style="9" customWidth="1"/>
  </cols>
  <sheetData>
    <row r="1" spans="1:19">
      <c r="A1" s="25" t="s">
        <v>38</v>
      </c>
      <c r="B1" s="25" t="s">
        <v>97</v>
      </c>
    </row>
    <row r="3" spans="1:19">
      <c r="A3" s="73" t="s">
        <v>114</v>
      </c>
      <c r="B3" s="96" t="s">
        <v>476</v>
      </c>
      <c r="H3" s="73" t="s">
        <v>112</v>
      </c>
    </row>
    <row r="4" spans="1:19">
      <c r="A4" s="73" t="s">
        <v>122</v>
      </c>
      <c r="B4" s="82">
        <f>Overview!B2</f>
        <v>41857</v>
      </c>
      <c r="H4" s="74">
        <v>2035</v>
      </c>
    </row>
    <row r="6" spans="1:19">
      <c r="H6" s="61">
        <f>SUM(H10:H103)</f>
        <v>2362.0502123228107</v>
      </c>
      <c r="I6" s="61">
        <f>SUM(I10:I103)</f>
        <v>0</v>
      </c>
      <c r="J6" s="61">
        <f>SUM(J10:J103)</f>
        <v>3078.6</v>
      </c>
      <c r="K6" s="21"/>
    </row>
    <row r="7" spans="1:19">
      <c r="A7" t="str">
        <f>TEXT(ROW(),"")</f>
        <v/>
      </c>
      <c r="H7" s="62"/>
      <c r="I7" s="62"/>
      <c r="J7" s="62"/>
    </row>
    <row r="8" spans="1:19">
      <c r="A8" s="8"/>
      <c r="B8" s="70">
        <v>1</v>
      </c>
      <c r="C8" s="70">
        <v>2</v>
      </c>
      <c r="D8" s="70">
        <v>3</v>
      </c>
      <c r="E8" s="70">
        <v>4</v>
      </c>
      <c r="F8" s="70">
        <v>5</v>
      </c>
      <c r="G8" s="70">
        <v>6</v>
      </c>
      <c r="H8" s="70">
        <v>7</v>
      </c>
      <c r="I8" s="70">
        <v>8</v>
      </c>
      <c r="J8" s="70">
        <v>9</v>
      </c>
      <c r="K8" s="70">
        <v>10</v>
      </c>
      <c r="L8" s="70">
        <v>11</v>
      </c>
      <c r="M8" s="70">
        <v>12</v>
      </c>
      <c r="N8" s="70">
        <v>13</v>
      </c>
      <c r="O8" s="70">
        <v>14</v>
      </c>
      <c r="P8" s="70">
        <v>15</v>
      </c>
      <c r="Q8" s="70">
        <v>16</v>
      </c>
      <c r="R8" s="70">
        <v>17</v>
      </c>
      <c r="S8" s="70">
        <v>18</v>
      </c>
    </row>
    <row r="9" spans="1:19" ht="76.5">
      <c r="A9" s="4" t="s">
        <v>39</v>
      </c>
      <c r="B9" s="2" t="s">
        <v>81</v>
      </c>
      <c r="C9" s="2" t="s">
        <v>5</v>
      </c>
      <c r="D9" s="16" t="s">
        <v>49</v>
      </c>
      <c r="E9" s="16" t="s">
        <v>11</v>
      </c>
      <c r="F9" s="32" t="s">
        <v>3</v>
      </c>
      <c r="G9" s="16" t="s">
        <v>125</v>
      </c>
      <c r="H9" s="16" t="s">
        <v>475</v>
      </c>
      <c r="I9" s="16" t="s">
        <v>478</v>
      </c>
      <c r="J9" s="16" t="s">
        <v>477</v>
      </c>
      <c r="K9" s="58" t="s">
        <v>111</v>
      </c>
      <c r="L9" s="58" t="s">
        <v>124</v>
      </c>
      <c r="M9" s="16" t="s">
        <v>123</v>
      </c>
      <c r="N9" s="16" t="s">
        <v>50</v>
      </c>
    </row>
    <row r="10" spans="1:19">
      <c r="B10" t="str">
        <f>MLIST!D9</f>
        <v>Lighting - New</v>
      </c>
      <c r="C10" s="24" t="s">
        <v>622</v>
      </c>
      <c r="D10" s="36"/>
      <c r="G10" s="35"/>
      <c r="H10" s="71">
        <f>'[2]SC-New'!$C$10+'[2]SC-New (2)'!$C$10</f>
        <v>81.951484278287751</v>
      </c>
      <c r="I10" s="63"/>
      <c r="J10" s="64">
        <v>284</v>
      </c>
      <c r="K10" s="59"/>
      <c r="L10" s="75"/>
    </row>
    <row r="11" spans="1:19">
      <c r="B11" t="str">
        <f>MLIST!D10</f>
        <v>Lighting - NR</v>
      </c>
      <c r="C11" s="24" t="s">
        <v>622</v>
      </c>
      <c r="D11" s="35"/>
      <c r="G11" s="35"/>
      <c r="H11" s="71">
        <f>'[2]SC-NR (2)'!$C$10+'[2]SC-NR'!$C$10</f>
        <v>379.97683052353744</v>
      </c>
      <c r="I11" s="64"/>
      <c r="J11" s="64"/>
      <c r="K11" s="59"/>
      <c r="L11" s="59"/>
      <c r="M11" s="59"/>
    </row>
    <row r="12" spans="1:19">
      <c r="B12" t="str">
        <f>MLIST!D11</f>
        <v>Lighting - PPA</v>
      </c>
      <c r="C12" s="24" t="s">
        <v>623</v>
      </c>
      <c r="D12" s="35"/>
      <c r="G12" s="35"/>
      <c r="H12" s="71">
        <f>'[3]SC-NR'!$C$10</f>
        <v>41.185970860882968</v>
      </c>
      <c r="I12" s="64"/>
      <c r="J12" s="64"/>
      <c r="K12" s="59"/>
      <c r="L12" s="59"/>
      <c r="M12" s="59"/>
    </row>
    <row r="13" spans="1:19">
      <c r="B13" t="str">
        <f>MLIST!D12</f>
        <v>Dishwasher - New</v>
      </c>
      <c r="C13" s="24" t="s">
        <v>547</v>
      </c>
      <c r="D13" s="35"/>
      <c r="G13" s="35"/>
      <c r="H13" s="71">
        <f>'[4]SC-New'!$C$10</f>
        <v>0.16475427844716631</v>
      </c>
      <c r="I13" s="64"/>
      <c r="J13" s="64">
        <v>46.6</v>
      </c>
      <c r="K13" s="59"/>
      <c r="L13" s="59"/>
      <c r="M13" s="59"/>
    </row>
    <row r="14" spans="1:19">
      <c r="B14" t="str">
        <f>MLIST!D13</f>
        <v>Dishwasher - NR</v>
      </c>
      <c r="C14" s="24" t="s">
        <v>547</v>
      </c>
      <c r="D14" s="35"/>
      <c r="G14" s="35"/>
      <c r="H14" s="71">
        <f>'[4]SC-NR'!$C$10</f>
        <v>0.76936177080110313</v>
      </c>
      <c r="I14" s="64"/>
      <c r="J14" s="64"/>
      <c r="K14" s="59"/>
      <c r="L14" s="59"/>
      <c r="M14" s="59"/>
    </row>
    <row r="15" spans="1:19">
      <c r="B15" t="str">
        <f>MLIST!D14</f>
        <v>Clothes Washer - New</v>
      </c>
      <c r="C15" s="24" t="s">
        <v>561</v>
      </c>
      <c r="D15" s="35"/>
      <c r="G15" s="35"/>
      <c r="H15" s="71">
        <f>'[5]SC-New'!$C$10</f>
        <v>10.583985386405807</v>
      </c>
      <c r="I15" s="64"/>
      <c r="J15" s="64">
        <v>108</v>
      </c>
      <c r="K15" s="59"/>
      <c r="L15" s="35"/>
    </row>
    <row r="16" spans="1:19">
      <c r="B16" t="str">
        <f>MLIST!D15</f>
        <v>Clothes Washer - NR</v>
      </c>
      <c r="C16" s="24" t="s">
        <v>561</v>
      </c>
      <c r="D16" s="35"/>
      <c r="G16" s="35"/>
      <c r="H16" s="71">
        <f>'[5]SC-NR'!$C$10</f>
        <v>49.766395138584762</v>
      </c>
      <c r="I16" s="64"/>
      <c r="J16" s="64"/>
      <c r="K16" s="59"/>
      <c r="L16" s="35"/>
    </row>
    <row r="17" spans="2:13">
      <c r="B17" t="str">
        <f>MLIST!D16</f>
        <v>WasteWater Heat Recovery - New</v>
      </c>
      <c r="C17" s="24" t="s">
        <v>479</v>
      </c>
      <c r="D17" s="35"/>
      <c r="G17" s="35"/>
      <c r="H17" s="71">
        <f>'[6]SC-New'!$C$10</f>
        <v>7.7151869035977052</v>
      </c>
      <c r="I17" s="65"/>
      <c r="J17" s="64">
        <v>106</v>
      </c>
      <c r="K17" s="59"/>
      <c r="L17" s="59"/>
      <c r="M17" s="59"/>
    </row>
    <row r="18" spans="2:13">
      <c r="B18" t="str">
        <f>MLIST!D17</f>
        <v>Showerheads - New</v>
      </c>
      <c r="C18" s="24" t="s">
        <v>546</v>
      </c>
      <c r="D18" s="35"/>
      <c r="G18" s="35"/>
      <c r="H18" s="71">
        <f>'[7]SC-New'!$C$10</f>
        <v>21.407960149926218</v>
      </c>
      <c r="I18" s="63"/>
      <c r="K18" s="59"/>
      <c r="L18" s="59"/>
      <c r="M18" s="59"/>
    </row>
    <row r="19" spans="2:13">
      <c r="B19" t="str">
        <f>MLIST!D18</f>
        <v>Showerheads - Retro</v>
      </c>
      <c r="C19" s="24" t="s">
        <v>546</v>
      </c>
      <c r="D19" s="36"/>
      <c r="G19" s="35"/>
      <c r="H19" s="71">
        <f>'[7]SC-Retro'!$C$10</f>
        <v>100.52976554712743</v>
      </c>
      <c r="I19" s="63"/>
      <c r="J19" s="64">
        <v>84.6</v>
      </c>
      <c r="K19" s="59"/>
      <c r="L19" s="35"/>
    </row>
    <row r="20" spans="2:13">
      <c r="B20" t="str">
        <f>MLIST!D19</f>
        <v>HPWH - New</v>
      </c>
      <c r="C20" s="24" t="s">
        <v>548</v>
      </c>
      <c r="D20" s="35"/>
      <c r="G20" s="35"/>
      <c r="H20" s="71">
        <f>'[8]SC-New'!$C$10</f>
        <v>22.199518178603135</v>
      </c>
      <c r="I20" s="64"/>
      <c r="J20" s="64"/>
      <c r="K20" s="59"/>
      <c r="L20" s="59"/>
      <c r="M20" s="59"/>
    </row>
    <row r="21" spans="2:13">
      <c r="B21" t="str">
        <f>MLIST!D20</f>
        <v>HPWH - NR</v>
      </c>
      <c r="C21" s="24" t="s">
        <v>548</v>
      </c>
      <c r="D21" s="35"/>
      <c r="G21" s="35"/>
      <c r="H21" s="71">
        <f>'[8]SC-NR'!$C$10</f>
        <v>266.36862228974621</v>
      </c>
      <c r="I21" s="64"/>
      <c r="J21" s="64">
        <v>492</v>
      </c>
      <c r="K21" s="59"/>
      <c r="L21" s="59"/>
      <c r="M21" s="59"/>
    </row>
    <row r="22" spans="2:13">
      <c r="B22" t="str">
        <f>MLIST!D21</f>
        <v>EV Supply Equip - NR</v>
      </c>
      <c r="C22" s="24" t="s">
        <v>480</v>
      </c>
      <c r="D22" s="35"/>
      <c r="G22" s="35"/>
      <c r="H22" s="71">
        <f>'[9]SC-NR'!$C$10</f>
        <v>7.4364802280030116</v>
      </c>
      <c r="I22" s="64"/>
      <c r="J22" s="64"/>
      <c r="K22" s="59"/>
      <c r="L22" s="59"/>
      <c r="M22" s="59"/>
    </row>
    <row r="23" spans="2:13">
      <c r="B23" t="str">
        <f>MLIST!D22</f>
        <v>Clothes Dryer - New</v>
      </c>
      <c r="C23" s="24" t="s">
        <v>549</v>
      </c>
      <c r="D23" s="35"/>
      <c r="G23" s="35"/>
      <c r="H23" s="71">
        <f>'[10]SC-New'!$C$10</f>
        <v>8.3159943119446353</v>
      </c>
      <c r="I23" s="64"/>
      <c r="J23" s="64"/>
      <c r="K23" s="59"/>
      <c r="L23" s="59"/>
    </row>
    <row r="24" spans="2:13">
      <c r="B24" t="str">
        <f>MLIST!D23</f>
        <v>Clothes Dryer - NR</v>
      </c>
      <c r="C24" s="24" t="s">
        <v>549</v>
      </c>
      <c r="D24" s="35"/>
      <c r="G24" s="35"/>
      <c r="H24" s="71">
        <f>'[10]SC-NR'!$C$10</f>
        <v>45.158059574110055</v>
      </c>
      <c r="I24" s="64"/>
      <c r="J24" s="64">
        <v>15.3</v>
      </c>
      <c r="K24" s="59"/>
      <c r="L24" s="59"/>
    </row>
    <row r="25" spans="2:13">
      <c r="B25" t="str">
        <f>MLIST!D24</f>
        <v>Refrigerator - New</v>
      </c>
      <c r="C25" s="24" t="s">
        <v>550</v>
      </c>
      <c r="D25" s="36"/>
      <c r="G25" s="35"/>
      <c r="H25" s="71">
        <f>'[11]SC-New'!$C$10</f>
        <v>8.2515067051228623</v>
      </c>
      <c r="I25" s="64"/>
      <c r="J25" s="64"/>
      <c r="K25" s="59"/>
      <c r="L25" s="35"/>
    </row>
    <row r="26" spans="2:13">
      <c r="B26" t="str">
        <f>MLIST!D25</f>
        <v>Refrigerator - NR</v>
      </c>
      <c r="C26" s="24" t="s">
        <v>550</v>
      </c>
      <c r="D26" s="35"/>
      <c r="G26" s="35"/>
      <c r="H26" s="71">
        <f>'[11]SC-NR'!$C$10</f>
        <v>46.92250786263611</v>
      </c>
      <c r="I26" s="64"/>
      <c r="J26" s="64">
        <v>41.3</v>
      </c>
      <c r="K26" s="59"/>
      <c r="L26" s="59"/>
    </row>
    <row r="27" spans="2:13">
      <c r="B27" t="str">
        <f>MLIST!D26</f>
        <v>Freezer - New</v>
      </c>
      <c r="C27" s="24" t="s">
        <v>550</v>
      </c>
      <c r="D27" s="35"/>
      <c r="G27" s="35"/>
      <c r="H27" s="71">
        <f>'[11]SC-New (2)'!$C$10</f>
        <v>0.59452225929043712</v>
      </c>
      <c r="I27" s="64"/>
      <c r="J27" s="64"/>
      <c r="K27" s="59"/>
      <c r="L27" s="59"/>
    </row>
    <row r="28" spans="2:13">
      <c r="B28" t="str">
        <f>MLIST!D27</f>
        <v>Freezer - NR</v>
      </c>
      <c r="C28" s="24" t="s">
        <v>550</v>
      </c>
      <c r="D28" s="35"/>
      <c r="G28" s="35"/>
      <c r="H28" s="71">
        <f>'[11]SC-NR (2)'!$C$10</f>
        <v>2.4138633180707227</v>
      </c>
      <c r="I28" s="64"/>
      <c r="J28" s="64">
        <v>14.5</v>
      </c>
      <c r="K28" s="59"/>
      <c r="L28" s="35"/>
    </row>
    <row r="29" spans="2:13">
      <c r="B29" t="str">
        <f>MLIST!D28</f>
        <v>Solar Water Heater - New</v>
      </c>
      <c r="C29" s="24" t="s">
        <v>540</v>
      </c>
      <c r="D29" s="35"/>
      <c r="G29" s="35"/>
      <c r="H29" s="71">
        <f>'[12]SC-New'!$C$10</f>
        <v>0</v>
      </c>
      <c r="I29" s="64"/>
      <c r="J29" s="64"/>
      <c r="K29" s="59"/>
      <c r="L29" s="59"/>
    </row>
    <row r="30" spans="2:13">
      <c r="B30" t="str">
        <f>MLIST!D29</f>
        <v>Solar Water Heater - NR</v>
      </c>
      <c r="C30" s="24"/>
      <c r="D30" s="35"/>
      <c r="G30" s="35"/>
      <c r="H30" s="71"/>
      <c r="I30" s="64"/>
      <c r="J30" s="64"/>
      <c r="K30" s="59"/>
      <c r="L30" s="59"/>
    </row>
    <row r="31" spans="2:13">
      <c r="B31" t="str">
        <f>MLIST!D30</f>
        <v>Solar Water Heater - Retro</v>
      </c>
      <c r="C31" s="24" t="s">
        <v>540</v>
      </c>
      <c r="D31" s="35"/>
      <c r="G31" s="35"/>
      <c r="H31" s="71">
        <f>'[12]SC-Retro'!$C$10</f>
        <v>55.924909203546143</v>
      </c>
      <c r="I31" s="64"/>
      <c r="J31" s="64">
        <v>398</v>
      </c>
      <c r="K31" s="59"/>
      <c r="L31" s="59"/>
    </row>
    <row r="32" spans="2:13">
      <c r="B32">
        <f>MLIST!D31</f>
        <v>0</v>
      </c>
      <c r="C32" s="24"/>
      <c r="D32" s="36"/>
      <c r="G32" s="35"/>
      <c r="H32" s="71"/>
      <c r="I32" s="64"/>
      <c r="J32" s="64"/>
      <c r="K32" s="59"/>
      <c r="L32" s="59"/>
    </row>
    <row r="33" spans="2:13">
      <c r="B33">
        <f>MLIST!D32</f>
        <v>0</v>
      </c>
      <c r="C33" s="24"/>
      <c r="D33" s="35"/>
      <c r="G33" s="35"/>
      <c r="H33" s="71"/>
      <c r="I33" s="64"/>
      <c r="J33" s="64"/>
      <c r="K33" s="59"/>
      <c r="L33" s="59"/>
    </row>
    <row r="34" spans="2:13">
      <c r="B34" t="str">
        <f>MLIST!D33</f>
        <v>Electric Oven - New</v>
      </c>
      <c r="C34" s="24" t="s">
        <v>551</v>
      </c>
      <c r="D34" s="35"/>
      <c r="G34" s="35"/>
      <c r="H34" s="71">
        <f>'[13]SC-New'!$C$10</f>
        <v>6.0104408472787334</v>
      </c>
      <c r="I34" s="64"/>
      <c r="J34" s="64"/>
      <c r="K34" s="59"/>
      <c r="L34" s="59"/>
    </row>
    <row r="35" spans="2:13">
      <c r="B35" t="str">
        <f>MLIST!D34</f>
        <v>Electric Oven - NR</v>
      </c>
      <c r="C35" s="24" t="s">
        <v>551</v>
      </c>
      <c r="D35" s="36"/>
      <c r="G35" s="35"/>
      <c r="H35" s="71">
        <f>'[13]SC-NR'!$C$10</f>
        <v>22.022746770362147</v>
      </c>
      <c r="I35" s="64"/>
      <c r="J35" s="64">
        <v>41.2</v>
      </c>
      <c r="K35" s="59"/>
      <c r="L35" s="59"/>
    </row>
    <row r="36" spans="2:13">
      <c r="B36" t="str">
        <f>MLIST!D35</f>
        <v>Microwave - New</v>
      </c>
      <c r="C36" s="24" t="s">
        <v>552</v>
      </c>
      <c r="D36" s="35"/>
      <c r="G36" s="35"/>
      <c r="H36" s="71">
        <f>'[14]SC-New'!$C$10</f>
        <v>1.0250425136330519</v>
      </c>
      <c r="I36" s="64"/>
      <c r="J36" s="66"/>
      <c r="K36" s="59"/>
      <c r="L36" s="59"/>
    </row>
    <row r="37" spans="2:13">
      <c r="B37" t="str">
        <f>MLIST!D36</f>
        <v>Microwave - NR</v>
      </c>
      <c r="C37" s="24" t="s">
        <v>552</v>
      </c>
      <c r="D37" s="35"/>
      <c r="G37" s="35"/>
      <c r="H37" s="71">
        <f>'[14]SC-NR'!$C$10</f>
        <v>5.4052958237524305</v>
      </c>
      <c r="I37" s="64"/>
      <c r="J37" s="64"/>
      <c r="K37" s="59"/>
      <c r="L37" s="35"/>
    </row>
    <row r="38" spans="2:13">
      <c r="B38" t="str">
        <f>MLIST!D37</f>
        <v>Monitor - New</v>
      </c>
      <c r="C38" s="24" t="s">
        <v>553</v>
      </c>
      <c r="D38" s="35"/>
      <c r="G38" s="35"/>
      <c r="H38" s="71">
        <f>'[15]SC-New'!$C$10</f>
        <v>1.4425538563470255</v>
      </c>
      <c r="I38" s="64"/>
      <c r="K38" s="59"/>
      <c r="L38" s="59"/>
      <c r="M38" s="59"/>
    </row>
    <row r="39" spans="2:13">
      <c r="B39" t="str">
        <f>MLIST!D38</f>
        <v>Monitor - NR</v>
      </c>
      <c r="C39" s="24" t="s">
        <v>553</v>
      </c>
      <c r="D39" s="35"/>
      <c r="G39" s="35"/>
      <c r="H39" s="71">
        <f>'[15]SC-NR'!$C$10</f>
        <v>6.0780585034919685</v>
      </c>
      <c r="I39" s="64"/>
      <c r="J39" s="64">
        <v>38.299999999999997</v>
      </c>
      <c r="K39" s="59"/>
      <c r="L39" s="35"/>
    </row>
    <row r="40" spans="2:13">
      <c r="B40" t="str">
        <f>MLIST!D39</f>
        <v>Desktop - New</v>
      </c>
      <c r="C40" s="24" t="s">
        <v>553</v>
      </c>
      <c r="D40" s="35"/>
      <c r="G40" s="35"/>
      <c r="H40" s="71">
        <f>'[15]SC-New (2)'!$C$10</f>
        <v>5.8580236209685363</v>
      </c>
      <c r="I40" s="64"/>
      <c r="J40" s="64"/>
      <c r="K40" s="59"/>
      <c r="L40" s="59"/>
      <c r="M40" s="59"/>
    </row>
    <row r="41" spans="2:13" ht="13.5" customHeight="1">
      <c r="B41" t="str">
        <f>MLIST!D40</f>
        <v>Desktop - NR</v>
      </c>
      <c r="C41" s="24" t="s">
        <v>553</v>
      </c>
      <c r="D41" s="35"/>
      <c r="G41" s="35"/>
      <c r="H41" s="71">
        <f>'[15]SC-NR (2)'!$C$10</f>
        <v>27.548133739474505</v>
      </c>
      <c r="I41" s="64"/>
      <c r="J41" s="64">
        <v>104.2</v>
      </c>
      <c r="K41" s="59"/>
      <c r="L41" s="59"/>
    </row>
    <row r="42" spans="2:13">
      <c r="B42" t="str">
        <f>MLIST!D41</f>
        <v>Laptop - New</v>
      </c>
      <c r="C42" s="24" t="s">
        <v>553</v>
      </c>
      <c r="D42" s="35"/>
      <c r="G42" s="35"/>
      <c r="H42" s="71"/>
      <c r="I42" s="64"/>
      <c r="J42" s="64"/>
      <c r="K42" s="59"/>
      <c r="L42" s="59"/>
      <c r="M42" s="62"/>
    </row>
    <row r="43" spans="2:13">
      <c r="B43" t="str">
        <f>MLIST!D42</f>
        <v>Laptop - NR</v>
      </c>
      <c r="C43" s="24" t="s">
        <v>553</v>
      </c>
      <c r="D43" s="36"/>
      <c r="G43" s="35"/>
      <c r="H43" s="71"/>
      <c r="I43" s="64"/>
      <c r="J43" s="64"/>
      <c r="K43" s="59"/>
      <c r="L43" s="35"/>
    </row>
    <row r="44" spans="2:13">
      <c r="C44" s="24"/>
      <c r="D44" s="36"/>
      <c r="G44" s="35"/>
      <c r="H44" s="71"/>
      <c r="I44" s="64"/>
      <c r="J44" s="64"/>
      <c r="K44" s="59"/>
      <c r="L44" s="35"/>
    </row>
    <row r="45" spans="2:13">
      <c r="C45" s="24"/>
      <c r="D45" s="36"/>
      <c r="G45" s="35"/>
      <c r="H45" s="71"/>
      <c r="I45" s="64"/>
      <c r="J45" s="64"/>
      <c r="K45" s="59"/>
      <c r="L45" s="35"/>
    </row>
    <row r="46" spans="2:13">
      <c r="B46" t="str">
        <f>MLIST!D45</f>
        <v>ASHP - New</v>
      </c>
      <c r="C46" s="24" t="s">
        <v>620</v>
      </c>
      <c r="D46" s="36"/>
      <c r="G46" s="35"/>
      <c r="H46" s="71">
        <f>'[16]SC-New (2)'!$C$10</f>
        <v>5.0124003942674147</v>
      </c>
      <c r="I46" s="64"/>
      <c r="J46" s="64"/>
      <c r="K46" s="59"/>
      <c r="L46" s="35"/>
    </row>
    <row r="47" spans="2:13">
      <c r="B47" t="str">
        <f>MLIST!D46</f>
        <v>ASHP - NR</v>
      </c>
      <c r="C47" s="24" t="s">
        <v>620</v>
      </c>
      <c r="D47" s="36"/>
      <c r="G47" s="35"/>
      <c r="H47" s="71">
        <f>'[16]SC-NR'!$C$10+'[16]SC-NR (2)'!$C$10</f>
        <v>100.01638439707457</v>
      </c>
      <c r="I47" s="64"/>
      <c r="J47" s="64">
        <f>103.5+431.1</f>
        <v>534.6</v>
      </c>
      <c r="K47" s="59"/>
      <c r="L47" s="59"/>
    </row>
    <row r="48" spans="2:13">
      <c r="C48" s="24"/>
      <c r="D48" s="35"/>
      <c r="G48" s="35"/>
      <c r="H48" s="71"/>
      <c r="I48" s="64"/>
      <c r="J48" s="64"/>
      <c r="K48" s="59"/>
      <c r="L48" s="59"/>
    </row>
    <row r="49" spans="2:12">
      <c r="B49" t="str">
        <f>MLIST!D48</f>
        <v>DHP - New</v>
      </c>
      <c r="C49" s="24" t="s">
        <v>620</v>
      </c>
      <c r="D49" s="35"/>
      <c r="G49" s="35"/>
      <c r="H49" s="71">
        <f>'[16]SC-New (3)'!$C$10</f>
        <v>7.7709811046916908</v>
      </c>
      <c r="I49" s="64"/>
      <c r="J49" s="64"/>
      <c r="K49" s="59"/>
      <c r="L49" s="59"/>
    </row>
    <row r="50" spans="2:12">
      <c r="B50" t="str">
        <f>MLIST!D49</f>
        <v>DHP - NR</v>
      </c>
      <c r="C50" s="24" t="s">
        <v>620</v>
      </c>
      <c r="D50" s="35"/>
      <c r="G50" s="35"/>
      <c r="H50" s="71">
        <f>'[16]SC-NR (3)'!$C$10</f>
        <v>135.65072609703043</v>
      </c>
      <c r="I50" s="64"/>
      <c r="J50" s="64">
        <v>194.2</v>
      </c>
      <c r="K50" s="59"/>
    </row>
    <row r="51" spans="2:12">
      <c r="B51" t="str">
        <f>MLIST!D50</f>
        <v>DHP - Retro</v>
      </c>
      <c r="C51" s="24"/>
      <c r="D51" s="35"/>
      <c r="G51" s="35"/>
      <c r="H51" s="71"/>
      <c r="I51" s="64"/>
      <c r="J51" s="64"/>
      <c r="K51" s="59"/>
    </row>
    <row r="52" spans="2:12">
      <c r="B52" t="str">
        <f>MLIST!D51</f>
        <v>Duct Sealing - New</v>
      </c>
      <c r="C52" s="24" t="s">
        <v>568</v>
      </c>
      <c r="D52" s="35"/>
      <c r="G52" s="35"/>
      <c r="H52" s="71">
        <f>'[17]SC-New'!$C$10</f>
        <v>2.9470575859187988</v>
      </c>
      <c r="I52" s="64"/>
      <c r="J52" s="64"/>
      <c r="K52" s="59"/>
    </row>
    <row r="53" spans="2:12">
      <c r="B53" t="str">
        <f>MLIST!D52</f>
        <v>Duct Sealing - Retro</v>
      </c>
      <c r="C53" s="24" t="s">
        <v>568</v>
      </c>
      <c r="D53" s="35"/>
      <c r="G53" s="35"/>
      <c r="H53" s="71">
        <f>'[17]SC-Retro'!$C$10</f>
        <v>31.300222388087601</v>
      </c>
      <c r="I53" s="64"/>
      <c r="J53" s="64"/>
      <c r="K53" s="59"/>
    </row>
    <row r="54" spans="2:12">
      <c r="B54" t="str">
        <f>MLIST!D53</f>
        <v>WIFI enabled tstats - New</v>
      </c>
      <c r="C54" s="24" t="s">
        <v>562</v>
      </c>
      <c r="D54" s="35"/>
      <c r="G54" s="35"/>
      <c r="H54" s="110">
        <f>'[18]SC-New'!$C$10</f>
        <v>0.86086036141221034</v>
      </c>
      <c r="I54" s="64"/>
      <c r="J54" s="64"/>
      <c r="K54" s="59"/>
    </row>
    <row r="55" spans="2:12">
      <c r="B55" t="str">
        <f>MLIST!D54</f>
        <v>WIFI enabled tstats - Retro</v>
      </c>
      <c r="C55" s="24" t="s">
        <v>562</v>
      </c>
      <c r="D55" s="35"/>
      <c r="G55" s="35"/>
      <c r="H55" s="71">
        <f>'[18]SC-Retro'!$C$10</f>
        <v>10.69442920538267</v>
      </c>
      <c r="I55" s="64"/>
      <c r="J55" s="64"/>
      <c r="K55" s="59"/>
    </row>
    <row r="56" spans="2:12">
      <c r="B56" t="str">
        <f>MLIST!D55</f>
        <v>Combo DHP/HPWH units - New</v>
      </c>
      <c r="C56" s="24"/>
      <c r="D56" s="35"/>
      <c r="G56" s="35"/>
      <c r="H56" s="71"/>
      <c r="I56" s="64"/>
      <c r="J56" s="64"/>
      <c r="K56" s="59"/>
      <c r="L56" s="59"/>
    </row>
    <row r="57" spans="2:12">
      <c r="B57" t="str">
        <f>MLIST!D56</f>
        <v>Combo DHP/HPWH units - NR</v>
      </c>
      <c r="D57" s="35"/>
      <c r="G57" s="35"/>
      <c r="H57" s="71"/>
      <c r="I57" s="64"/>
      <c r="J57" s="64"/>
      <c r="K57" s="59"/>
    </row>
    <row r="58" spans="2:12">
      <c r="B58" t="str">
        <f>MLIST!D57</f>
        <v>Combo DHP/HPWH units - Retro</v>
      </c>
      <c r="D58" s="36"/>
      <c r="G58" s="35"/>
      <c r="H58" s="71"/>
      <c r="I58" s="64"/>
      <c r="J58" s="64"/>
      <c r="K58" s="59"/>
    </row>
    <row r="59" spans="2:12">
      <c r="B59" t="str">
        <f>MLIST!D58</f>
        <v>Aerator - New</v>
      </c>
      <c r="C59" s="24" t="s">
        <v>545</v>
      </c>
      <c r="D59" s="35"/>
      <c r="G59" s="35"/>
      <c r="H59" s="71">
        <f>'[19]SC-New'!$C$10</f>
        <v>3.5437049824306519</v>
      </c>
      <c r="I59" s="64"/>
      <c r="J59" s="64"/>
      <c r="K59" s="59"/>
    </row>
    <row r="60" spans="2:12" ht="12.75" customHeight="1">
      <c r="B60" t="str">
        <f>MLIST!D59</f>
        <v>Aerator - Retro</v>
      </c>
      <c r="C60" s="24" t="s">
        <v>545</v>
      </c>
      <c r="D60" s="35"/>
      <c r="G60" s="35"/>
      <c r="H60" s="71">
        <f>'[19]SC-Retro'!$C$10</f>
        <v>28.939883904303688</v>
      </c>
      <c r="I60" s="64"/>
      <c r="J60" s="67"/>
      <c r="K60" s="59"/>
      <c r="L60" s="59"/>
    </row>
    <row r="61" spans="2:12">
      <c r="B61" t="str">
        <f>MLIST!D60</f>
        <v>Behavior - Retro</v>
      </c>
      <c r="C61" s="24" t="s">
        <v>554</v>
      </c>
      <c r="G61" s="35"/>
      <c r="H61" s="71">
        <f>'[20]SC-Retro'!$C$10</f>
        <v>39.473335897851918</v>
      </c>
      <c r="I61" s="64"/>
      <c r="J61" s="64"/>
      <c r="K61" s="59"/>
    </row>
    <row r="62" spans="2:12">
      <c r="B62" t="str">
        <f>MLIST!D61</f>
        <v>Behavior - New</v>
      </c>
      <c r="C62" s="24" t="s">
        <v>554</v>
      </c>
      <c r="G62" s="35"/>
      <c r="H62" s="71">
        <f>'[20]SC-New'!$C$10</f>
        <v>5.9878569781439097</v>
      </c>
      <c r="I62" s="64"/>
      <c r="J62" s="64"/>
      <c r="K62" s="59"/>
    </row>
    <row r="63" spans="2:12">
      <c r="B63">
        <f>MLIST!D62</f>
        <v>0</v>
      </c>
      <c r="G63" s="35"/>
      <c r="H63" s="71"/>
      <c r="I63" s="64"/>
      <c r="J63" s="64"/>
      <c r="K63" s="59"/>
    </row>
    <row r="64" spans="2:12">
      <c r="B64" t="str">
        <f>MLIST!D63</f>
        <v>Heat Recovery Ventilation - New</v>
      </c>
      <c r="C64" s="24" t="s">
        <v>493</v>
      </c>
      <c r="D64" s="35"/>
      <c r="G64" s="35"/>
      <c r="H64" s="71">
        <f>'[21]SC-New'!$C$10</f>
        <v>16.266657422692457</v>
      </c>
      <c r="I64" s="64"/>
      <c r="J64" s="64">
        <v>226</v>
      </c>
      <c r="K64" s="59"/>
    </row>
    <row r="65" spans="2:14">
      <c r="B65" t="str">
        <f>MLIST!D64</f>
        <v>GSHP - New</v>
      </c>
      <c r="C65" s="24" t="s">
        <v>541</v>
      </c>
      <c r="D65" s="35"/>
      <c r="G65" s="35"/>
      <c r="H65" s="71">
        <f>'[22]SC-New'!$C$10</f>
        <v>1.3692889060755165</v>
      </c>
      <c r="I65" s="64"/>
      <c r="J65" s="64">
        <v>0</v>
      </c>
      <c r="K65" s="59"/>
    </row>
    <row r="66" spans="2:14">
      <c r="B66" t="str">
        <f>MLIST!D65</f>
        <v>GSHP - NR</v>
      </c>
      <c r="C66" s="24" t="s">
        <v>541</v>
      </c>
      <c r="D66" s="35"/>
      <c r="G66" s="35"/>
      <c r="H66" s="71">
        <f>'[22]SC-NR'!$C$10</f>
        <v>17.498742982836337</v>
      </c>
      <c r="I66" s="64"/>
      <c r="J66" s="64">
        <v>0</v>
      </c>
      <c r="K66" s="59"/>
    </row>
    <row r="67" spans="2:14">
      <c r="B67">
        <f>MLIST!D66</f>
        <v>0</v>
      </c>
      <c r="G67" s="35"/>
      <c r="H67" s="71"/>
      <c r="I67" s="64"/>
      <c r="J67" s="64"/>
      <c r="K67" s="59"/>
    </row>
    <row r="68" spans="2:14">
      <c r="B68" t="str">
        <f>MLIST!D67</f>
        <v>ECM for HVAC ventilation - New</v>
      </c>
      <c r="G68" s="35"/>
      <c r="H68" s="71"/>
      <c r="I68" s="64"/>
      <c r="J68" s="64"/>
      <c r="K68" s="59"/>
    </row>
    <row r="69" spans="2:14">
      <c r="B69" t="str">
        <f>MLIST!D68</f>
        <v>ECM for HVAC ventilation - NR</v>
      </c>
      <c r="G69" s="35"/>
      <c r="H69" s="71"/>
      <c r="I69" s="64"/>
      <c r="J69" s="64"/>
      <c r="K69" s="59"/>
    </row>
    <row r="70" spans="2:14">
      <c r="B70" t="str">
        <f>MLIST!D69</f>
        <v>Whole house/attic fan - New</v>
      </c>
      <c r="C70" s="24"/>
      <c r="D70" s="35"/>
      <c r="G70" s="35"/>
      <c r="H70" s="71"/>
      <c r="I70" s="64"/>
      <c r="J70" s="67"/>
      <c r="K70" s="60"/>
      <c r="L70" s="59"/>
    </row>
    <row r="71" spans="2:14">
      <c r="B71" t="str">
        <f>MLIST!D70</f>
        <v>Whole house/attic fan - Retro</v>
      </c>
      <c r="C71" s="24"/>
      <c r="G71" s="35"/>
      <c r="H71" s="71"/>
      <c r="I71" s="64"/>
      <c r="J71" s="67"/>
      <c r="K71" s="59"/>
      <c r="L71" s="59"/>
    </row>
    <row r="72" spans="2:14">
      <c r="B72" t="str">
        <f>MLIST!D71</f>
        <v>WH Pipe insulation - Retro</v>
      </c>
      <c r="C72" s="24"/>
      <c r="D72" s="35"/>
      <c r="G72" s="35"/>
      <c r="H72" s="71"/>
      <c r="I72" s="64"/>
      <c r="J72" s="67"/>
      <c r="K72" s="59"/>
      <c r="L72" s="59"/>
      <c r="N72" s="62"/>
    </row>
    <row r="73" spans="2:14">
      <c r="B73" t="str">
        <f>MLIST!D72</f>
        <v>DHP Ducted - NR</v>
      </c>
      <c r="C73" s="24" t="s">
        <v>621</v>
      </c>
      <c r="G73" s="35"/>
      <c r="H73" s="71">
        <f>'[23]SC-NR'!$C$10</f>
        <v>157.80253886795043</v>
      </c>
      <c r="I73" s="64"/>
      <c r="J73" s="64">
        <v>0</v>
      </c>
      <c r="K73" s="59"/>
      <c r="L73" s="59"/>
    </row>
    <row r="74" spans="2:14">
      <c r="B74" t="str">
        <f>MLIST!D73</f>
        <v>Advanced Power Strips - New</v>
      </c>
      <c r="C74" s="24" t="s">
        <v>619</v>
      </c>
      <c r="D74" s="35"/>
      <c r="G74" s="35"/>
      <c r="H74" s="71">
        <f>'[24]SC-New'!$C$10</f>
        <v>31.684161765893183</v>
      </c>
      <c r="I74" s="64"/>
      <c r="J74" s="64">
        <v>0</v>
      </c>
      <c r="K74" s="59"/>
      <c r="L74" s="59"/>
      <c r="N74" s="62"/>
    </row>
    <row r="75" spans="2:14">
      <c r="B75" t="str">
        <f>MLIST!D74</f>
        <v>Advanced Power Strips - Retro</v>
      </c>
      <c r="C75" s="24" t="s">
        <v>619</v>
      </c>
      <c r="G75" s="35"/>
      <c r="H75" s="71">
        <f>'[24]SC-Retro'!$C$10</f>
        <v>231.16675565415144</v>
      </c>
      <c r="I75" s="64"/>
      <c r="J75" s="64">
        <v>0</v>
      </c>
      <c r="K75" s="59"/>
      <c r="L75" s="59"/>
    </row>
    <row r="76" spans="2:14">
      <c r="B76" t="str">
        <f>MLIST!D75</f>
        <v>Controls Commissioning and Sizing - New</v>
      </c>
      <c r="C76" s="24" t="s">
        <v>560</v>
      </c>
      <c r="G76" s="35"/>
      <c r="H76" s="71">
        <f>'[25]SC-New'!$C$10</f>
        <v>6.6616221163727083</v>
      </c>
      <c r="I76" s="64"/>
      <c r="J76" s="64"/>
      <c r="K76" s="59"/>
    </row>
    <row r="77" spans="2:14">
      <c r="B77" t="str">
        <f>MLIST!D76</f>
        <v>Controls Commissioning and Sizing - NR</v>
      </c>
      <c r="C77" s="24" t="s">
        <v>560</v>
      </c>
      <c r="G77" s="35"/>
      <c r="H77" s="71">
        <f>'[25]SC-NR'!$C$10</f>
        <v>43.173744913235367</v>
      </c>
      <c r="I77" s="64"/>
      <c r="J77" s="64"/>
      <c r="K77" s="59"/>
      <c r="L77" s="59"/>
    </row>
    <row r="78" spans="2:14">
      <c r="B78" t="str">
        <f>MLIST!D77</f>
        <v>ResWx - Retro</v>
      </c>
      <c r="C78" s="24" t="s">
        <v>618</v>
      </c>
      <c r="G78" s="35"/>
      <c r="H78" s="71">
        <f>'[26]SC-Retro'!$C$10</f>
        <v>126.67317650716652</v>
      </c>
      <c r="I78" s="64"/>
      <c r="J78" s="64">
        <v>349.8</v>
      </c>
      <c r="K78" s="59"/>
    </row>
    <row r="79" spans="2:14">
      <c r="B79" t="str">
        <f>B78</f>
        <v>ResWx - Retro</v>
      </c>
      <c r="C79" s="24" t="s">
        <v>625</v>
      </c>
      <c r="G79" s="35"/>
      <c r="H79" s="71">
        <f>'[27]SC-Retro'!$C$10</f>
        <v>119.2764142115731</v>
      </c>
      <c r="I79" s="64"/>
      <c r="J79" s="64"/>
      <c r="K79" s="59"/>
      <c r="L79" s="59"/>
    </row>
    <row r="80" spans="2:14">
      <c r="B80" t="str">
        <f>B78</f>
        <v>ResWx - Retro</v>
      </c>
      <c r="C80" s="24" t="s">
        <v>555</v>
      </c>
      <c r="D80" s="35"/>
      <c r="G80" s="35"/>
      <c r="H80" s="71">
        <f>'[28]SC-Retro'!$C$10</f>
        <v>5.2512912342887139</v>
      </c>
      <c r="I80" s="64"/>
      <c r="J80" s="64"/>
      <c r="K80" s="59"/>
      <c r="L80" s="59"/>
    </row>
    <row r="81" spans="3:14">
      <c r="C81" s="24"/>
      <c r="D81" s="35"/>
      <c r="G81" s="35"/>
      <c r="H81" s="71"/>
      <c r="I81" s="64"/>
      <c r="J81" s="64"/>
      <c r="K81" s="59"/>
      <c r="L81" s="59"/>
    </row>
    <row r="82" spans="3:14">
      <c r="C82" s="24"/>
      <c r="D82" s="35"/>
      <c r="G82" s="35"/>
      <c r="H82" s="71"/>
      <c r="I82" s="64"/>
      <c r="J82" s="64"/>
      <c r="K82" s="59"/>
      <c r="L82" s="59"/>
    </row>
    <row r="83" spans="3:14">
      <c r="C83" s="24"/>
      <c r="D83" s="35"/>
      <c r="G83" s="35"/>
      <c r="H83" s="71"/>
      <c r="I83" s="64"/>
      <c r="J83" s="64"/>
      <c r="K83" s="59"/>
      <c r="L83" s="59"/>
    </row>
    <row r="84" spans="3:14">
      <c r="C84" s="24"/>
      <c r="D84" s="35"/>
      <c r="G84" s="35"/>
      <c r="H84" s="71"/>
      <c r="I84" s="64"/>
      <c r="J84" s="64"/>
      <c r="K84" s="59"/>
      <c r="L84" s="59"/>
    </row>
    <row r="85" spans="3:14">
      <c r="C85" s="24"/>
      <c r="D85" s="35"/>
      <c r="G85" s="35"/>
      <c r="H85" s="71"/>
      <c r="I85" s="64"/>
      <c r="J85" s="64"/>
      <c r="K85" s="59"/>
      <c r="L85" s="59"/>
    </row>
    <row r="86" spans="3:14">
      <c r="C86" s="24"/>
      <c r="D86" s="35"/>
      <c r="G86" s="35"/>
      <c r="H86" s="71"/>
      <c r="I86" s="64"/>
      <c r="J86" s="64"/>
      <c r="K86" s="59"/>
      <c r="L86" s="59"/>
    </row>
    <row r="87" spans="3:14">
      <c r="C87" s="24"/>
      <c r="D87" s="35"/>
      <c r="G87" s="35"/>
      <c r="H87" s="71"/>
      <c r="I87" s="64"/>
      <c r="J87" s="64"/>
      <c r="K87" s="59"/>
      <c r="L87" s="59"/>
    </row>
    <row r="88" spans="3:14">
      <c r="C88" s="24"/>
      <c r="D88" s="35"/>
      <c r="G88" s="35"/>
      <c r="H88" s="71"/>
      <c r="I88" s="64"/>
      <c r="J88" s="64"/>
      <c r="K88" s="59"/>
      <c r="L88" s="59"/>
    </row>
    <row r="89" spans="3:14">
      <c r="C89" s="24"/>
      <c r="D89" s="35"/>
      <c r="G89" s="35"/>
      <c r="H89" s="71"/>
      <c r="I89" s="64"/>
      <c r="J89" s="67"/>
      <c r="K89" s="59"/>
      <c r="L89" s="59"/>
      <c r="M89" s="62"/>
    </row>
    <row r="90" spans="3:14">
      <c r="C90" s="24"/>
      <c r="D90" s="35"/>
      <c r="G90" s="35"/>
      <c r="H90" s="71"/>
      <c r="I90" s="64"/>
      <c r="J90" s="64"/>
      <c r="K90" s="59"/>
      <c r="L90" s="59"/>
    </row>
    <row r="91" spans="3:14">
      <c r="C91" s="24"/>
      <c r="D91" s="35"/>
      <c r="G91" s="35"/>
      <c r="H91" s="71"/>
      <c r="I91" s="64"/>
      <c r="J91" s="64"/>
      <c r="K91" s="59"/>
      <c r="L91" s="59"/>
    </row>
    <row r="92" spans="3:14">
      <c r="C92" s="24"/>
      <c r="D92" s="35"/>
      <c r="G92" s="35"/>
      <c r="H92" s="71"/>
      <c r="I92" s="64"/>
      <c r="J92" s="64"/>
      <c r="K92" s="59"/>
      <c r="L92" s="59"/>
    </row>
    <row r="93" spans="3:14">
      <c r="C93" s="24"/>
      <c r="D93" s="35"/>
      <c r="G93" s="35"/>
      <c r="H93" s="71"/>
      <c r="I93" s="68"/>
      <c r="J93" s="67"/>
      <c r="K93" s="59"/>
      <c r="L93" s="59"/>
      <c r="N93" s="62"/>
    </row>
    <row r="94" spans="3:14">
      <c r="C94" s="24"/>
      <c r="D94" s="35"/>
      <c r="G94" s="35"/>
      <c r="H94" s="71"/>
      <c r="I94" s="64"/>
      <c r="J94" s="67"/>
      <c r="K94" s="59"/>
      <c r="L94" s="59"/>
      <c r="N94" s="62"/>
    </row>
    <row r="95" spans="3:14">
      <c r="C95" s="24"/>
      <c r="D95" s="35"/>
      <c r="G95" s="35"/>
      <c r="H95" s="71"/>
      <c r="I95" s="65"/>
      <c r="J95" s="64"/>
      <c r="K95" s="59"/>
      <c r="L95" s="59"/>
      <c r="N95" s="62"/>
    </row>
    <row r="96" spans="3:14">
      <c r="C96" s="24"/>
      <c r="D96" s="35"/>
      <c r="G96" s="35"/>
      <c r="H96" s="71"/>
    </row>
    <row r="97" spans="8:11">
      <c r="H97" s="71"/>
    </row>
    <row r="98" spans="8:11">
      <c r="H98" s="71"/>
    </row>
    <row r="99" spans="8:11">
      <c r="H99" s="71"/>
    </row>
    <row r="100" spans="8:11">
      <c r="H100" s="71"/>
    </row>
    <row r="101" spans="8:11">
      <c r="H101" s="71"/>
    </row>
    <row r="102" spans="8:11">
      <c r="H102" s="71"/>
    </row>
    <row r="103" spans="8:11">
      <c r="H103" s="71"/>
    </row>
    <row r="105" spans="8:11">
      <c r="J105" s="65"/>
      <c r="K105" s="37"/>
    </row>
  </sheetData>
  <autoFilter ref="A9:N103"/>
  <phoneticPr fontId="0" type="noConversion"/>
  <hyperlinks>
    <hyperlink ref="C13" r:id="rId1"/>
    <hyperlink ref="C17" r:id="rId2"/>
    <hyperlink ref="C25" r:id="rId3"/>
    <hyperlink ref="C34" r:id="rId4"/>
    <hyperlink ref="C36" r:id="rId5"/>
    <hyperlink ref="C59" r:id="rId6"/>
    <hyperlink ref="C78" r:id="rId7"/>
    <hyperlink ref="C19" r:id="rId8"/>
    <hyperlink ref="C20" r:id="rId9"/>
    <hyperlink ref="C22" r:id="rId10"/>
    <hyperlink ref="C38" r:id="rId11"/>
    <hyperlink ref="C61" r:id="rId12"/>
    <hyperlink ref="C80" r:id="rId13"/>
    <hyperlink ref="C10" r:id="rId14"/>
    <hyperlink ref="C15" r:id="rId15"/>
    <hyperlink ref="C23" r:id="rId16"/>
    <hyperlink ref="C73" r:id="rId17"/>
    <hyperlink ref="C46" r:id="rId18"/>
    <hyperlink ref="C64" r:id="rId19"/>
    <hyperlink ref="C79" r:id="rId20"/>
    <hyperlink ref="C29" r:id="rId21"/>
    <hyperlink ref="C31" r:id="rId22"/>
    <hyperlink ref="C65" r:id="rId23"/>
    <hyperlink ref="C66" r:id="rId24"/>
    <hyperlink ref="C60" r:id="rId25"/>
    <hyperlink ref="C18" r:id="rId26"/>
    <hyperlink ref="C14" r:id="rId27"/>
    <hyperlink ref="C21" r:id="rId28"/>
    <hyperlink ref="C24" r:id="rId29"/>
    <hyperlink ref="C26" r:id="rId30"/>
    <hyperlink ref="C27" r:id="rId31"/>
    <hyperlink ref="C28" r:id="rId32"/>
    <hyperlink ref="C35" r:id="rId33"/>
    <hyperlink ref="C37" r:id="rId34"/>
    <hyperlink ref="C39" r:id="rId35"/>
    <hyperlink ref="C40" r:id="rId36"/>
    <hyperlink ref="C41" r:id="rId37"/>
    <hyperlink ref="C42" r:id="rId38"/>
    <hyperlink ref="C43" r:id="rId39"/>
    <hyperlink ref="C62" r:id="rId40"/>
    <hyperlink ref="C55" r:id="rId41"/>
    <hyperlink ref="C76" r:id="rId42"/>
    <hyperlink ref="C77" r:id="rId43"/>
    <hyperlink ref="C53" r:id="rId44"/>
    <hyperlink ref="C16" r:id="rId45"/>
    <hyperlink ref="C74" r:id="rId46"/>
    <hyperlink ref="C54" r:id="rId47"/>
    <hyperlink ref="C52" r:id="rId48"/>
    <hyperlink ref="C12" r:id="rId49"/>
    <hyperlink ref="C75" r:id="rId50"/>
    <hyperlink ref="C47" r:id="rId51"/>
    <hyperlink ref="C49" r:id="rId52"/>
    <hyperlink ref="C50" r:id="rId53"/>
    <hyperlink ref="C11" r:id="rId54"/>
  </hyperlinks>
  <pageMargins left="0.75" right="0.75" top="1" bottom="1" header="0.5" footer="0.5"/>
  <pageSetup orientation="portrait" r:id="rId55"/>
  <headerFooter alignWithMargins="0"/>
  <legacyDrawing r:id="rId56"/>
</worksheet>
</file>

<file path=xl/worksheets/sheet5.xml><?xml version="1.0" encoding="utf-8"?>
<worksheet xmlns="http://schemas.openxmlformats.org/spreadsheetml/2006/main" xmlns:r="http://schemas.openxmlformats.org/officeDocument/2006/relationships">
  <sheetPr codeName="Sheet5">
    <tabColor rgb="FFFF0000"/>
  </sheetPr>
  <dimension ref="A1:H156"/>
  <sheetViews>
    <sheetView topLeftCell="A46" workbookViewId="0">
      <selection activeCell="C79" sqref="C79"/>
    </sheetView>
  </sheetViews>
  <sheetFormatPr defaultRowHeight="12.75"/>
  <cols>
    <col min="2" max="2" width="47" customWidth="1"/>
    <col min="4" max="4" width="9.7109375" bestFit="1" customWidth="1"/>
    <col min="6" max="6" width="10.28515625" bestFit="1" customWidth="1"/>
  </cols>
  <sheetData>
    <row r="1" spans="1:8">
      <c r="A1" t="s">
        <v>94</v>
      </c>
      <c r="B1" t="s">
        <v>171</v>
      </c>
      <c r="D1" s="25" t="str">
        <f ca="1">CELL("filename")</f>
        <v>\\nas2\Q\SeventhPlan\Conservation Analysis\Charts\[ConsBundle_withCharts_032615.xlsx]aMW-MAX</v>
      </c>
    </row>
    <row r="2" spans="1:8">
      <c r="B2" s="25"/>
    </row>
    <row r="3" spans="1:8">
      <c r="B3" s="37"/>
      <c r="C3" s="30"/>
      <c r="D3" s="30"/>
      <c r="E3" s="30"/>
      <c r="F3" s="30"/>
    </row>
    <row r="4" spans="1:8">
      <c r="B4" s="37"/>
      <c r="C4" s="30"/>
      <c r="D4" s="30"/>
      <c r="E4" s="30"/>
      <c r="F4" s="30"/>
    </row>
    <row r="5" spans="1:8">
      <c r="B5" s="37"/>
    </row>
    <row r="6" spans="1:8">
      <c r="B6" s="57"/>
      <c r="G6" s="1"/>
      <c r="H6" s="1"/>
    </row>
    <row r="7" spans="1:8">
      <c r="A7" s="1"/>
      <c r="B7" s="1">
        <f>COLUMN()-1</f>
        <v>1</v>
      </c>
      <c r="C7" s="1">
        <f t="shared" ref="C7:F7" si="0">COLUMN()-1</f>
        <v>2</v>
      </c>
      <c r="D7" s="1">
        <f t="shared" si="0"/>
        <v>3</v>
      </c>
      <c r="E7" s="1">
        <f t="shared" si="0"/>
        <v>4</v>
      </c>
      <c r="F7" s="1">
        <f t="shared" si="0"/>
        <v>5</v>
      </c>
    </row>
    <row r="8" spans="1:8">
      <c r="A8" s="28" t="s">
        <v>39</v>
      </c>
      <c r="B8" s="28" t="s">
        <v>81</v>
      </c>
      <c r="C8" s="3" t="s">
        <v>135</v>
      </c>
      <c r="D8" s="3" t="s">
        <v>136</v>
      </c>
      <c r="E8" s="3" t="s">
        <v>137</v>
      </c>
      <c r="F8" s="3" t="s">
        <v>138</v>
      </c>
      <c r="G8" s="3" t="s">
        <v>34</v>
      </c>
    </row>
    <row r="9" spans="1:8" ht="12.6" customHeight="1">
      <c r="B9" s="41" t="str">
        <f>MLIST!D9</f>
        <v>Lighting - New</v>
      </c>
      <c r="C9" s="6">
        <f>FEAS!C9*(1-BASE!C9)</f>
        <v>1</v>
      </c>
      <c r="D9" s="6">
        <f>FEAS!D9*(1-BASE!D9)</f>
        <v>1</v>
      </c>
      <c r="E9" s="6">
        <f>FEAS!E9*(1-BASE!E9)</f>
        <v>1</v>
      </c>
      <c r="F9" s="6">
        <f>FEAS!F9*(1-BASE!F9)</f>
        <v>1</v>
      </c>
    </row>
    <row r="10" spans="1:8">
      <c r="B10" s="41" t="str">
        <f>MLIST!D10</f>
        <v>Lighting - NR</v>
      </c>
      <c r="C10" s="6">
        <f>FEAS!C10*(1-BASE!C10)</f>
        <v>1</v>
      </c>
      <c r="D10" s="6">
        <f>FEAS!D10*(1-BASE!D10)</f>
        <v>1</v>
      </c>
      <c r="E10" s="6">
        <f>FEAS!E10*(1-BASE!E10)</f>
        <v>1</v>
      </c>
      <c r="F10" s="6">
        <f>FEAS!F10*(1-BASE!F10)</f>
        <v>1</v>
      </c>
    </row>
    <row r="11" spans="1:8">
      <c r="B11" s="41" t="str">
        <f>MLIST!D11</f>
        <v>Lighting - PPA</v>
      </c>
      <c r="C11" s="6">
        <f>FEAS!C11*(1-BASE!C11)</f>
        <v>1</v>
      </c>
      <c r="D11" s="6">
        <f>FEAS!D11*(1-BASE!D11)</f>
        <v>1</v>
      </c>
      <c r="E11" s="6">
        <f>FEAS!E11*(1-BASE!E11)</f>
        <v>1</v>
      </c>
      <c r="F11" s="6">
        <f>FEAS!F11*(1-BASE!F11)</f>
        <v>1</v>
      </c>
    </row>
    <row r="12" spans="1:8">
      <c r="B12" s="41" t="str">
        <f>MLIST!D12</f>
        <v>Dishwasher - New</v>
      </c>
      <c r="C12" s="6">
        <f>FEAS!C12*(1-BASE!C12)</f>
        <v>1</v>
      </c>
      <c r="D12" s="6">
        <f>FEAS!D12*(1-BASE!D12)</f>
        <v>1</v>
      </c>
      <c r="E12" s="6">
        <f>FEAS!E12*(1-BASE!E12)</f>
        <v>1</v>
      </c>
      <c r="F12" s="6">
        <f>FEAS!F12*(1-BASE!F12)</f>
        <v>1</v>
      </c>
    </row>
    <row r="13" spans="1:8">
      <c r="B13" s="41" t="str">
        <f>MLIST!D13</f>
        <v>Dishwasher - NR</v>
      </c>
      <c r="C13" s="6">
        <f>FEAS!C13*(1-BASE!C13)</f>
        <v>1</v>
      </c>
      <c r="D13" s="6">
        <f>FEAS!D13*(1-BASE!D13)</f>
        <v>1</v>
      </c>
      <c r="E13" s="6">
        <f>FEAS!E13*(1-BASE!E13)</f>
        <v>1</v>
      </c>
      <c r="F13" s="6">
        <f>FEAS!F13*(1-BASE!F13)</f>
        <v>1</v>
      </c>
    </row>
    <row r="14" spans="1:8">
      <c r="B14" s="41" t="str">
        <f>MLIST!D14</f>
        <v>Clothes Washer - New</v>
      </c>
      <c r="C14" s="6">
        <f>FEAS!C14*(1-BASE!C14)</f>
        <v>1</v>
      </c>
      <c r="D14" s="6">
        <f>FEAS!D14*(1-BASE!D14)</f>
        <v>0.75</v>
      </c>
      <c r="E14" s="6">
        <f>FEAS!E14*(1-BASE!E14)</f>
        <v>0.75</v>
      </c>
      <c r="F14" s="6">
        <f>FEAS!F14*(1-BASE!F14)</f>
        <v>1</v>
      </c>
    </row>
    <row r="15" spans="1:8">
      <c r="B15" s="41" t="str">
        <f>MLIST!D15</f>
        <v>Clothes Washer - NR</v>
      </c>
      <c r="C15" s="6">
        <f>FEAS!C15*(1-BASE!C15)</f>
        <v>1</v>
      </c>
      <c r="D15" s="6">
        <f>FEAS!D15*(1-BASE!D15)</f>
        <v>0.75</v>
      </c>
      <c r="E15" s="6">
        <f>FEAS!E15*(1-BASE!E15)</f>
        <v>0.75</v>
      </c>
      <c r="F15" s="6">
        <f>FEAS!F15*(1-BASE!F15)</f>
        <v>1</v>
      </c>
    </row>
    <row r="16" spans="1:8">
      <c r="B16" s="41" t="str">
        <f>MLIST!D16</f>
        <v>WasteWater Heat Recovery - New</v>
      </c>
      <c r="C16" s="6">
        <f>FEAS!C16*(1-BASE!C16)</f>
        <v>0.9</v>
      </c>
      <c r="D16" s="6">
        <f>FEAS!D16*(1-BASE!D16)</f>
        <v>0.5</v>
      </c>
      <c r="E16" s="6">
        <f>FEAS!E16*(1-BASE!E16)</f>
        <v>0.9</v>
      </c>
      <c r="F16" s="6">
        <f>FEAS!F16*(1-BASE!F16)</f>
        <v>0</v>
      </c>
    </row>
    <row r="17" spans="2:8">
      <c r="B17" s="41" t="str">
        <f>MLIST!D17</f>
        <v>Showerheads - New</v>
      </c>
      <c r="C17" s="6">
        <f>FEAS!C17*(1-BASE!C17)</f>
        <v>0.51600000000000001</v>
      </c>
      <c r="D17" s="6">
        <f>FEAS!D17*(1-BASE!D17)</f>
        <v>0.58000000000000007</v>
      </c>
      <c r="E17" s="6">
        <f>FEAS!E17*(1-BASE!E17)</f>
        <v>0.58000000000000007</v>
      </c>
      <c r="F17" s="6">
        <f>FEAS!F17*(1-BASE!F17)</f>
        <v>0.33999999999999997</v>
      </c>
    </row>
    <row r="18" spans="2:8">
      <c r="B18" s="41" t="str">
        <f>MLIST!D18</f>
        <v>Showerheads - Retro</v>
      </c>
      <c r="C18" s="6">
        <f>FEAS!C18*(1-BASE!C18)</f>
        <v>0.44247428657992416</v>
      </c>
      <c r="D18" s="6">
        <f>FEAS!D18*(1-BASE!D18)</f>
        <v>0.58000000000000007</v>
      </c>
      <c r="E18" s="6">
        <f>FEAS!E18*(1-BASE!E18)</f>
        <v>0.58000000000000007</v>
      </c>
      <c r="F18" s="6">
        <f>FEAS!F18*(1-BASE!F18)</f>
        <v>0.33999999999999997</v>
      </c>
    </row>
    <row r="19" spans="2:8">
      <c r="B19" s="41" t="str">
        <f>MLIST!D19</f>
        <v>HPWH - New</v>
      </c>
      <c r="C19" s="6">
        <f>FEAS!C19*(1-BASE!C19)</f>
        <v>0.94904999999999995</v>
      </c>
      <c r="D19" s="6">
        <f>FEAS!D19*(1-BASE!D19)</f>
        <v>0</v>
      </c>
      <c r="E19" s="6">
        <f>FEAS!E19*(1-BASE!E19)</f>
        <v>0</v>
      </c>
      <c r="F19" s="6">
        <f>FEAS!F19*(1-BASE!F19)</f>
        <v>0.95</v>
      </c>
    </row>
    <row r="20" spans="2:8">
      <c r="B20" s="41" t="str">
        <f>MLIST!D20</f>
        <v>HPWH - NR</v>
      </c>
      <c r="C20" s="6">
        <f>FEAS!C20*(1-BASE!C20)</f>
        <v>0.94904999999999995</v>
      </c>
      <c r="D20" s="6">
        <f>FEAS!D20*(1-BASE!D20)</f>
        <v>0</v>
      </c>
      <c r="E20" s="6">
        <f>FEAS!E20*(1-BASE!E20)</f>
        <v>0</v>
      </c>
      <c r="F20" s="6">
        <f>FEAS!F20*(1-BASE!F20)</f>
        <v>0.95</v>
      </c>
    </row>
    <row r="21" spans="2:8">
      <c r="B21" s="41" t="str">
        <f>MLIST!D21</f>
        <v>EV Supply Equip - NR</v>
      </c>
      <c r="C21" s="6">
        <f>FEAS!C21*(1-BASE!C21)</f>
        <v>0.89100000000000001</v>
      </c>
      <c r="D21" s="6">
        <f>FEAS!D21*(1-BASE!D21)</f>
        <v>0</v>
      </c>
      <c r="E21" s="6">
        <f>FEAS!E21*(1-BASE!E21)</f>
        <v>0</v>
      </c>
      <c r="F21" s="6">
        <f>FEAS!F21*(1-BASE!F21)</f>
        <v>0</v>
      </c>
    </row>
    <row r="22" spans="2:8" s="8" customFormat="1">
      <c r="B22" s="41" t="str">
        <f>MLIST!D22</f>
        <v>Clothes Dryer - New</v>
      </c>
      <c r="C22" s="6">
        <f>FEAS!C22*(1-BASE!C22)</f>
        <v>0.9</v>
      </c>
      <c r="D22" s="6">
        <f>FEAS!D22*(1-BASE!D22)</f>
        <v>0.9</v>
      </c>
      <c r="E22" s="6">
        <f>FEAS!E22*(1-BASE!E22)</f>
        <v>0.9</v>
      </c>
      <c r="F22" s="6">
        <f>FEAS!F22*(1-BASE!F22)</f>
        <v>0.9</v>
      </c>
      <c r="G22"/>
      <c r="H22"/>
    </row>
    <row r="23" spans="2:8" s="8" customFormat="1">
      <c r="B23" s="41" t="str">
        <f>MLIST!D23</f>
        <v>Clothes Dryer - NR</v>
      </c>
      <c r="C23" s="6">
        <f>FEAS!C23*(1-BASE!C23)</f>
        <v>0.9</v>
      </c>
      <c r="D23" s="6">
        <f>FEAS!D23*(1-BASE!D23)</f>
        <v>0.9</v>
      </c>
      <c r="E23" s="6">
        <f>FEAS!E23*(1-BASE!E23)</f>
        <v>0.9</v>
      </c>
      <c r="F23" s="6">
        <f>FEAS!F23*(1-BASE!F23)</f>
        <v>0.9</v>
      </c>
      <c r="G23"/>
      <c r="H23"/>
    </row>
    <row r="24" spans="2:8">
      <c r="B24" s="41" t="str">
        <f>MLIST!D24</f>
        <v>Refrigerator - New</v>
      </c>
      <c r="C24" s="6">
        <f>FEAS!C24*(1-BASE!C24)</f>
        <v>1</v>
      </c>
      <c r="D24" s="6">
        <f>FEAS!D24*(1-BASE!D24)</f>
        <v>1</v>
      </c>
      <c r="E24" s="6">
        <f>FEAS!E24*(1-BASE!E24)</f>
        <v>1</v>
      </c>
      <c r="F24" s="6">
        <f>FEAS!F24*(1-BASE!F24)</f>
        <v>1</v>
      </c>
    </row>
    <row r="25" spans="2:8">
      <c r="B25" s="41" t="str">
        <f>MLIST!D25</f>
        <v>Refrigerator - NR</v>
      </c>
      <c r="C25" s="6">
        <f>FEAS!C25*(1-BASE!C25)</f>
        <v>1</v>
      </c>
      <c r="D25" s="6">
        <f>FEAS!D25*(1-BASE!D25)</f>
        <v>1</v>
      </c>
      <c r="E25" s="6">
        <f>FEAS!E25*(1-BASE!E25)</f>
        <v>1</v>
      </c>
      <c r="F25" s="6">
        <f>FEAS!F25*(1-BASE!F25)</f>
        <v>1</v>
      </c>
    </row>
    <row r="26" spans="2:8">
      <c r="B26" s="41" t="str">
        <f>MLIST!D26</f>
        <v>Freezer - New</v>
      </c>
      <c r="C26" s="6">
        <f>FEAS!C26*(1-BASE!C26)</f>
        <v>1</v>
      </c>
      <c r="D26" s="6">
        <f>FEAS!D26*(1-BASE!D26)</f>
        <v>1</v>
      </c>
      <c r="E26" s="6">
        <f>FEAS!E26*(1-BASE!E26)</f>
        <v>1</v>
      </c>
      <c r="F26" s="6">
        <f>FEAS!F26*(1-BASE!F26)</f>
        <v>1</v>
      </c>
    </row>
    <row r="27" spans="2:8">
      <c r="B27" s="41" t="str">
        <f>MLIST!D27</f>
        <v>Freezer - NR</v>
      </c>
      <c r="C27" s="6">
        <f>FEAS!C27*(1-BASE!C27)</f>
        <v>1</v>
      </c>
      <c r="D27" s="6">
        <f>FEAS!D27*(1-BASE!D27)</f>
        <v>1</v>
      </c>
      <c r="E27" s="6">
        <f>FEAS!E27*(1-BASE!E27)</f>
        <v>1</v>
      </c>
      <c r="F27" s="6">
        <f>FEAS!F27*(1-BASE!F27)</f>
        <v>1</v>
      </c>
    </row>
    <row r="28" spans="2:8" s="8" customFormat="1">
      <c r="B28" s="41" t="str">
        <f>MLIST!D28</f>
        <v>Solar Water Heater - New</v>
      </c>
      <c r="C28" s="6">
        <f>FEAS!C28*(1-BASE!C28)</f>
        <v>0.2475</v>
      </c>
      <c r="D28" s="6">
        <f>FEAS!D28*(1-BASE!D28)</f>
        <v>0.25</v>
      </c>
      <c r="E28" s="6">
        <f>FEAS!E28*(1-BASE!E28)</f>
        <v>0</v>
      </c>
      <c r="F28" s="6">
        <f>FEAS!F28*(1-BASE!F28)</f>
        <v>0</v>
      </c>
      <c r="G28"/>
      <c r="H28"/>
    </row>
    <row r="29" spans="2:8" s="8" customFormat="1">
      <c r="B29" s="41" t="str">
        <f>MLIST!D29</f>
        <v>Solar Water Heater - NR</v>
      </c>
      <c r="C29" s="6">
        <f>FEAS!C29*(1-BASE!C29)</f>
        <v>0.2475</v>
      </c>
      <c r="D29" s="6">
        <f>FEAS!D29*(1-BASE!D29)</f>
        <v>0.25</v>
      </c>
      <c r="E29" s="6">
        <f>FEAS!E29*(1-BASE!E29)</f>
        <v>0</v>
      </c>
      <c r="F29" s="6">
        <f>FEAS!F29*(1-BASE!F29)</f>
        <v>0</v>
      </c>
      <c r="G29"/>
      <c r="H29"/>
    </row>
    <row r="30" spans="2:8" s="8" customFormat="1">
      <c r="B30" s="41" t="str">
        <f>MLIST!D30</f>
        <v>Solar Water Heater - Retro</v>
      </c>
      <c r="C30" s="6">
        <f>FEAS!C30*(1-BASE!C30)</f>
        <v>0.2475</v>
      </c>
      <c r="D30" s="6">
        <f>FEAS!D30*(1-BASE!D30)</f>
        <v>0.25</v>
      </c>
      <c r="E30" s="6">
        <f>FEAS!E30*(1-BASE!E30)</f>
        <v>0</v>
      </c>
      <c r="F30" s="6">
        <f>FEAS!F30*(1-BASE!F30)</f>
        <v>0</v>
      </c>
      <c r="G30"/>
      <c r="H30"/>
    </row>
    <row r="31" spans="2:8" s="8" customFormat="1">
      <c r="B31" s="41">
        <f>MLIST!D31</f>
        <v>0</v>
      </c>
      <c r="C31" s="6">
        <f>FEAS!C31*(1-BASE!C31)</f>
        <v>0</v>
      </c>
      <c r="D31" s="6">
        <f>FEAS!D31*(1-BASE!D31)</f>
        <v>0</v>
      </c>
      <c r="E31" s="6">
        <f>FEAS!E31*(1-BASE!E31)</f>
        <v>0</v>
      </c>
      <c r="F31" s="6">
        <f>FEAS!F31*(1-BASE!F31)</f>
        <v>0</v>
      </c>
      <c r="G31"/>
      <c r="H31"/>
    </row>
    <row r="32" spans="2:8" s="8" customFormat="1">
      <c r="B32" s="41">
        <f>MLIST!D32</f>
        <v>0</v>
      </c>
      <c r="C32" s="6">
        <f>FEAS!C32*(1-BASE!C32)</f>
        <v>0</v>
      </c>
      <c r="D32" s="6">
        <f>FEAS!D32*(1-BASE!D32)</f>
        <v>0</v>
      </c>
      <c r="E32" s="6">
        <f>FEAS!E32*(1-BASE!E32)</f>
        <v>0</v>
      </c>
      <c r="F32" s="6">
        <f>FEAS!F32*(1-BASE!F32)</f>
        <v>0</v>
      </c>
      <c r="G32"/>
      <c r="H32"/>
    </row>
    <row r="33" spans="1:8" s="8" customFormat="1">
      <c r="B33" s="41" t="str">
        <f>MLIST!D33</f>
        <v>Electric Oven - New</v>
      </c>
      <c r="C33" s="6">
        <f>FEAS!C33*(1-BASE!C33)</f>
        <v>0.9</v>
      </c>
      <c r="D33" s="6">
        <f>FEAS!D33*(1-BASE!D33)</f>
        <v>0.9</v>
      </c>
      <c r="E33" s="6">
        <f>FEAS!E33*(1-BASE!E33)</f>
        <v>0.9</v>
      </c>
      <c r="F33" s="6">
        <f>FEAS!F33*(1-BASE!F33)</f>
        <v>0.9</v>
      </c>
      <c r="G33"/>
      <c r="H33"/>
    </row>
    <row r="34" spans="1:8" s="8" customFormat="1">
      <c r="B34" s="41" t="str">
        <f>MLIST!D34</f>
        <v>Electric Oven - NR</v>
      </c>
      <c r="C34" s="6">
        <f>FEAS!C34*(1-BASE!C34)</f>
        <v>0.9</v>
      </c>
      <c r="D34" s="6">
        <f>FEAS!D34*(1-BASE!D34)</f>
        <v>0.9</v>
      </c>
      <c r="E34" s="6">
        <f>FEAS!E34*(1-BASE!E34)</f>
        <v>0.9</v>
      </c>
      <c r="F34" s="6">
        <f>FEAS!F34*(1-BASE!F34)</f>
        <v>0.9</v>
      </c>
      <c r="G34"/>
      <c r="H34"/>
    </row>
    <row r="35" spans="1:8" s="8" customFormat="1">
      <c r="B35" s="41" t="str">
        <f>MLIST!D35</f>
        <v>Microwave - New</v>
      </c>
      <c r="C35" s="6">
        <f>FEAS!C35*(1-BASE!C35)</f>
        <v>1</v>
      </c>
      <c r="D35" s="6">
        <f>FEAS!D35*(1-BASE!D35)</f>
        <v>1</v>
      </c>
      <c r="E35" s="6">
        <f>FEAS!E35*(1-BASE!E35)</f>
        <v>1</v>
      </c>
      <c r="F35" s="6">
        <f>FEAS!F35*(1-BASE!F35)</f>
        <v>1</v>
      </c>
      <c r="G35"/>
      <c r="H35"/>
    </row>
    <row r="36" spans="1:8">
      <c r="B36" s="41" t="str">
        <f>MLIST!D36</f>
        <v>Microwave - NR</v>
      </c>
      <c r="C36" s="6">
        <f>FEAS!C36*(1-BASE!C36)</f>
        <v>1</v>
      </c>
      <c r="D36" s="6">
        <f>FEAS!D36*(1-BASE!D36)</f>
        <v>1</v>
      </c>
      <c r="E36" s="6">
        <f>FEAS!E36*(1-BASE!E36)</f>
        <v>1</v>
      </c>
      <c r="F36" s="6">
        <f>FEAS!F36*(1-BASE!F36)</f>
        <v>1</v>
      </c>
    </row>
    <row r="37" spans="1:8" s="8" customFormat="1">
      <c r="A37" s="22"/>
      <c r="B37" s="41" t="str">
        <f>MLIST!D37</f>
        <v>Monitor - New</v>
      </c>
      <c r="C37" s="6">
        <f>FEAS!C37*(1-BASE!C37)</f>
        <v>0.44999999999999996</v>
      </c>
      <c r="D37" s="6">
        <f>FEAS!D37*(1-BASE!D37)</f>
        <v>0.44999999999999996</v>
      </c>
      <c r="E37" s="6">
        <f>FEAS!E37*(1-BASE!E37)</f>
        <v>0.44999999999999996</v>
      </c>
      <c r="F37" s="6">
        <f>FEAS!F37*(1-BASE!F37)</f>
        <v>0.44999999999999996</v>
      </c>
      <c r="G37"/>
      <c r="H37"/>
    </row>
    <row r="38" spans="1:8" s="8" customFormat="1">
      <c r="B38" s="41" t="str">
        <f>MLIST!D38</f>
        <v>Monitor - NR</v>
      </c>
      <c r="C38" s="6">
        <f>FEAS!C38*(1-BASE!C38)</f>
        <v>0.44999999999999996</v>
      </c>
      <c r="D38" s="6">
        <f>FEAS!D38*(1-BASE!D38)</f>
        <v>0.44999999999999996</v>
      </c>
      <c r="E38" s="6">
        <f>FEAS!E38*(1-BASE!E38)</f>
        <v>0.44999999999999996</v>
      </c>
      <c r="F38" s="6">
        <f>FEAS!F38*(1-BASE!F38)</f>
        <v>0.44999999999999996</v>
      </c>
      <c r="G38"/>
      <c r="H38"/>
    </row>
    <row r="39" spans="1:8" s="8" customFormat="1">
      <c r="B39" s="41" t="str">
        <f>MLIST!D39</f>
        <v>Desktop - New</v>
      </c>
      <c r="C39" s="6">
        <f>FEAS!C39*(1-BASE!C39)</f>
        <v>0.75</v>
      </c>
      <c r="D39" s="6">
        <f>FEAS!D39*(1-BASE!D39)</f>
        <v>0.75</v>
      </c>
      <c r="E39" s="6">
        <f>FEAS!E39*(1-BASE!E39)</f>
        <v>0.75</v>
      </c>
      <c r="F39" s="6">
        <f>FEAS!F39*(1-BASE!F39)</f>
        <v>0.75</v>
      </c>
      <c r="G39"/>
      <c r="H39"/>
    </row>
    <row r="40" spans="1:8" s="8" customFormat="1">
      <c r="B40" s="41" t="str">
        <f>MLIST!D40</f>
        <v>Desktop - NR</v>
      </c>
      <c r="C40" s="6">
        <f>FEAS!C40*(1-BASE!C40)</f>
        <v>0.75</v>
      </c>
      <c r="D40" s="6">
        <f>FEAS!D40*(1-BASE!D40)</f>
        <v>0.75</v>
      </c>
      <c r="E40" s="6">
        <f>FEAS!E40*(1-BASE!E40)</f>
        <v>0.75</v>
      </c>
      <c r="F40" s="6">
        <f>FEAS!F40*(1-BASE!F40)</f>
        <v>0.75</v>
      </c>
      <c r="G40"/>
      <c r="H40"/>
    </row>
    <row r="41" spans="1:8" s="8" customFormat="1">
      <c r="B41" s="41" t="str">
        <f>MLIST!D41</f>
        <v>Laptop - New</v>
      </c>
      <c r="C41" s="6">
        <f>FEAS!C41*(1-BASE!C41)</f>
        <v>0.26</v>
      </c>
      <c r="D41" s="6">
        <f>FEAS!D41*(1-BASE!D41)</f>
        <v>0.26</v>
      </c>
      <c r="E41" s="6">
        <f>FEAS!E41*(1-BASE!E41)</f>
        <v>0.26</v>
      </c>
      <c r="F41" s="6">
        <f>FEAS!F41*(1-BASE!F41)</f>
        <v>0.26</v>
      </c>
      <c r="G41"/>
      <c r="H41"/>
    </row>
    <row r="42" spans="1:8" s="8" customFormat="1">
      <c r="B42" s="41" t="str">
        <f>MLIST!D42</f>
        <v>Laptop - NR</v>
      </c>
      <c r="C42" s="6">
        <f>FEAS!C42*(1-BASE!C42)</f>
        <v>0.26</v>
      </c>
      <c r="D42" s="6">
        <f>FEAS!D42*(1-BASE!D42)</f>
        <v>0.26</v>
      </c>
      <c r="E42" s="6">
        <f>FEAS!E42*(1-BASE!E42)</f>
        <v>0.26</v>
      </c>
      <c r="F42" s="6">
        <f>FEAS!F42*(1-BASE!F42)</f>
        <v>0.26</v>
      </c>
      <c r="G42"/>
      <c r="H42"/>
    </row>
    <row r="43" spans="1:8" s="8" customFormat="1">
      <c r="B43" s="41" t="str">
        <f>MLIST!D43</f>
        <v>Computer - New</v>
      </c>
      <c r="C43" s="6"/>
      <c r="D43" s="6"/>
      <c r="E43" s="6"/>
      <c r="F43" s="6"/>
      <c r="G43"/>
      <c r="H43"/>
    </row>
    <row r="44" spans="1:8" s="8" customFormat="1">
      <c r="B44" s="41" t="str">
        <f>MLIST!D44</f>
        <v>Computer - NR</v>
      </c>
      <c r="C44" s="6"/>
      <c r="D44" s="6"/>
      <c r="E44" s="6"/>
      <c r="F44" s="6"/>
      <c r="G44"/>
      <c r="H44"/>
    </row>
    <row r="45" spans="1:8" s="8" customFormat="1">
      <c r="B45" s="41" t="str">
        <f>MLIST!D45</f>
        <v>ASHP - New</v>
      </c>
      <c r="C45" s="6">
        <f>FEAS!C45*(1-BASE!C45)</f>
        <v>0.88200000000000001</v>
      </c>
      <c r="D45" s="6">
        <f>FEAS!D45*(1-BASE!D45)</f>
        <v>0.5</v>
      </c>
      <c r="E45" s="6">
        <f>FEAS!E45*(1-BASE!E45)</f>
        <v>0</v>
      </c>
      <c r="F45" s="6">
        <f>FEAS!F45*(1-BASE!F45)</f>
        <v>0.9</v>
      </c>
      <c r="G45"/>
      <c r="H45"/>
    </row>
    <row r="46" spans="1:8" s="8" customFormat="1">
      <c r="B46" s="41" t="str">
        <f>MLIST!D46</f>
        <v>ASHP - NR</v>
      </c>
      <c r="C46" s="6">
        <f>FEAS!C46*(1-BASE!C46)</f>
        <v>0.73499999999999999</v>
      </c>
      <c r="D46" s="6">
        <f>FEAS!D46*(1-BASE!D46)</f>
        <v>0.5</v>
      </c>
      <c r="E46" s="6">
        <f>FEAS!E46*(1-BASE!E46)</f>
        <v>0</v>
      </c>
      <c r="F46" s="6">
        <f>FEAS!F46*(1-BASE!F46)</f>
        <v>0.25</v>
      </c>
      <c r="G46"/>
      <c r="H46"/>
    </row>
    <row r="47" spans="1:8" s="8" customFormat="1">
      <c r="B47" s="41" t="str">
        <f>MLIST!D47</f>
        <v>HP - Retro</v>
      </c>
      <c r="C47" s="6">
        <f>FEAS!C47*(1-BASE!C47)</f>
        <v>0</v>
      </c>
      <c r="D47" s="6">
        <f>FEAS!D47*(1-BASE!D47)</f>
        <v>0</v>
      </c>
      <c r="E47" s="6">
        <f>FEAS!E47*(1-BASE!E47)</f>
        <v>0</v>
      </c>
      <c r="F47" s="6">
        <f>FEAS!F47*(1-BASE!F47)</f>
        <v>0</v>
      </c>
      <c r="G47"/>
      <c r="H47"/>
    </row>
    <row r="48" spans="1:8" s="8" customFormat="1">
      <c r="B48" s="41" t="str">
        <f>MLIST!D48</f>
        <v>DHP - New</v>
      </c>
      <c r="C48" s="6">
        <f>FEAS!C48*(1-BASE!C48)</f>
        <v>0.97019999999999995</v>
      </c>
      <c r="D48" s="6">
        <f>FEAS!D48*(1-BASE!D48)</f>
        <v>0.99</v>
      </c>
      <c r="E48" s="6">
        <f>FEAS!E48*(1-BASE!E48)</f>
        <v>0</v>
      </c>
      <c r="F48" s="6">
        <f>FEAS!F48*(1-BASE!F48)</f>
        <v>0.99</v>
      </c>
      <c r="G48"/>
      <c r="H48"/>
    </row>
    <row r="49" spans="2:8" s="8" customFormat="1">
      <c r="B49" s="41" t="str">
        <f>MLIST!D49</f>
        <v>DHP - NR</v>
      </c>
      <c r="C49" s="6">
        <f>FEAS!C49*(1-BASE!C49)</f>
        <v>0.97019999999999995</v>
      </c>
      <c r="D49" s="6">
        <f>FEAS!D49*(1-BASE!D49)</f>
        <v>0.99</v>
      </c>
      <c r="E49" s="6">
        <f>FEAS!E49*(1-BASE!E49)</f>
        <v>0</v>
      </c>
      <c r="F49" s="6">
        <f>FEAS!F49*(1-BASE!F49)</f>
        <v>0.99</v>
      </c>
      <c r="G49"/>
      <c r="H49"/>
    </row>
    <row r="50" spans="2:8" s="8" customFormat="1">
      <c r="B50" s="41" t="str">
        <f>MLIST!D50</f>
        <v>DHP - Retro</v>
      </c>
      <c r="C50" s="6">
        <f>FEAS!C50*(1-BASE!C50)</f>
        <v>0</v>
      </c>
      <c r="D50" s="6">
        <f>FEAS!D50*(1-BASE!D50)</f>
        <v>0</v>
      </c>
      <c r="E50" s="6">
        <f>FEAS!E50*(1-BASE!E50)</f>
        <v>0</v>
      </c>
      <c r="F50" s="6">
        <f>FEAS!F50*(1-BASE!F50)</f>
        <v>0</v>
      </c>
      <c r="G50"/>
      <c r="H50"/>
    </row>
    <row r="51" spans="2:8" s="8" customFormat="1">
      <c r="B51" s="41" t="str">
        <f>MLIST!D51</f>
        <v>Duct Sealing - New</v>
      </c>
      <c r="C51" s="6">
        <f>FEAS!C51*(1-BASE!C51)</f>
        <v>0.4519771928174614</v>
      </c>
      <c r="D51" s="6">
        <f>FEAS!D51*(1-BASE!D51)</f>
        <v>0</v>
      </c>
      <c r="E51" s="6">
        <f>FEAS!E51*(1-BASE!E51)</f>
        <v>0</v>
      </c>
      <c r="F51" s="6">
        <f>FEAS!F51*(1-BASE!F51)</f>
        <v>0.56056700768085099</v>
      </c>
      <c r="G51"/>
      <c r="H51"/>
    </row>
    <row r="52" spans="2:8" s="8" customFormat="1">
      <c r="B52" s="41" t="str">
        <f>MLIST!D52</f>
        <v>Duct Sealing - Retro</v>
      </c>
      <c r="C52" s="6">
        <f>FEAS!C52*(1-BASE!C52)</f>
        <v>0.4293783331765883</v>
      </c>
      <c r="D52" s="6">
        <f>FEAS!D52*(1-BASE!D52)</f>
        <v>0</v>
      </c>
      <c r="E52" s="6">
        <f>FEAS!E52*(1-BASE!E52)</f>
        <v>0</v>
      </c>
      <c r="F52" s="6">
        <f>FEAS!F52*(1-BASE!F52)</f>
        <v>0.53253865729680838</v>
      </c>
      <c r="G52"/>
      <c r="H52"/>
    </row>
    <row r="53" spans="2:8" s="8" customFormat="1">
      <c r="B53" s="41" t="str">
        <f>MLIST!D53</f>
        <v>WIFI enabled tstats - New</v>
      </c>
      <c r="C53" s="6">
        <f>FEAS!C53*(1-BASE!C53)</f>
        <v>0.2</v>
      </c>
      <c r="D53" s="6">
        <f>FEAS!D53*(1-BASE!D53)</f>
        <v>0.2</v>
      </c>
      <c r="E53" s="6">
        <f>FEAS!E53*(1-BASE!E53)</f>
        <v>0</v>
      </c>
      <c r="F53" s="6">
        <f>FEAS!F53*(1-BASE!F53)</f>
        <v>0.2</v>
      </c>
      <c r="G53"/>
      <c r="H53"/>
    </row>
    <row r="54" spans="2:8">
      <c r="B54" s="41" t="str">
        <f>MLIST!D54</f>
        <v>WIFI enabled tstats - Retro</v>
      </c>
      <c r="C54" s="6">
        <f>FEAS!C54*(1-BASE!C54)</f>
        <v>0.19800000000000001</v>
      </c>
      <c r="D54" s="6">
        <f>FEAS!D54*(1-BASE!D54)</f>
        <v>0.19800000000000001</v>
      </c>
      <c r="E54" s="6">
        <f>FEAS!E54*(1-BASE!E54)</f>
        <v>0</v>
      </c>
      <c r="F54" s="6">
        <f>FEAS!F54*(1-BASE!F54)</f>
        <v>0.19800000000000001</v>
      </c>
    </row>
    <row r="55" spans="2:8">
      <c r="B55" s="41" t="str">
        <f>MLIST!D55</f>
        <v>Combo DHP/HPWH units - New</v>
      </c>
      <c r="C55" s="6">
        <f>FEAS!C55*(1-BASE!C55)</f>
        <v>0</v>
      </c>
      <c r="D55" s="6">
        <f>FEAS!D55*(1-BASE!D55)</f>
        <v>0</v>
      </c>
      <c r="E55" s="6">
        <f>FEAS!E55*(1-BASE!E55)</f>
        <v>0</v>
      </c>
      <c r="F55" s="6">
        <f>FEAS!F55*(1-BASE!F55)</f>
        <v>0</v>
      </c>
    </row>
    <row r="56" spans="2:8">
      <c r="B56" s="41" t="str">
        <f>MLIST!D56</f>
        <v>Combo DHP/HPWH units - NR</v>
      </c>
      <c r="C56" s="6">
        <f>FEAS!C56*(1-BASE!C56)</f>
        <v>0</v>
      </c>
      <c r="D56" s="6">
        <f>FEAS!D56*(1-BASE!D56)</f>
        <v>0</v>
      </c>
      <c r="E56" s="6">
        <f>FEAS!E56*(1-BASE!E56)</f>
        <v>0</v>
      </c>
      <c r="F56" s="6">
        <f>FEAS!F56*(1-BASE!F56)</f>
        <v>0</v>
      </c>
    </row>
    <row r="57" spans="2:8">
      <c r="B57" s="41" t="str">
        <f>MLIST!D57</f>
        <v>Combo DHP/HPWH units - Retro</v>
      </c>
      <c r="C57" s="6">
        <f>FEAS!C57*(1-BASE!C57)</f>
        <v>0</v>
      </c>
      <c r="D57" s="6">
        <f>FEAS!D57*(1-BASE!D57)</f>
        <v>0</v>
      </c>
      <c r="E57" s="6">
        <f>FEAS!E57*(1-BASE!E57)</f>
        <v>0</v>
      </c>
      <c r="F57" s="6">
        <f>FEAS!F57*(1-BASE!F57)</f>
        <v>0</v>
      </c>
    </row>
    <row r="58" spans="2:8">
      <c r="B58" s="41" t="str">
        <f>MLIST!D58</f>
        <v>Aerator - New</v>
      </c>
      <c r="C58" s="6">
        <f>FEAS!C58*(1-BASE!C58)</f>
        <v>0.315</v>
      </c>
      <c r="D58" s="6">
        <f>FEAS!D58*(1-BASE!D58)</f>
        <v>0.315</v>
      </c>
      <c r="E58" s="6">
        <f>FEAS!E58*(1-BASE!E58)</f>
        <v>0.315</v>
      </c>
      <c r="F58" s="6">
        <f>FEAS!F58*(1-BASE!F58)</f>
        <v>0.315</v>
      </c>
    </row>
    <row r="59" spans="2:8">
      <c r="B59" s="41" t="str">
        <f>MLIST!D59</f>
        <v>Aerator - Retro</v>
      </c>
      <c r="C59" s="6">
        <f>FEAS!C59*(1-BASE!C59)</f>
        <v>0.315</v>
      </c>
      <c r="D59" s="6">
        <f>FEAS!D59*(1-BASE!D59)</f>
        <v>0.315</v>
      </c>
      <c r="E59" s="6">
        <f>FEAS!E59*(1-BASE!E59)</f>
        <v>0.315</v>
      </c>
      <c r="F59" s="6">
        <f>FEAS!F59*(1-BASE!F59)</f>
        <v>0.315</v>
      </c>
    </row>
    <row r="60" spans="2:8">
      <c r="B60" s="41" t="str">
        <f>MLIST!D60</f>
        <v>Behavior - Retro</v>
      </c>
      <c r="C60" s="6">
        <f>FEAS!C60*(1-BASE!C60)</f>
        <v>0.48999999999999994</v>
      </c>
      <c r="D60" s="6">
        <f>FEAS!D60*(1-BASE!D60)</f>
        <v>0.48999999999999994</v>
      </c>
      <c r="E60" s="6">
        <f>FEAS!E60*(1-BASE!E60)</f>
        <v>0.48999999999999994</v>
      </c>
      <c r="F60" s="6">
        <f>FEAS!F60*(1-BASE!F60)</f>
        <v>0.48999999999999994</v>
      </c>
    </row>
    <row r="61" spans="2:8">
      <c r="B61" s="41" t="str">
        <f>MLIST!D61</f>
        <v>Behavior - New</v>
      </c>
      <c r="C61" s="6">
        <f>FEAS!C61*(1-BASE!C61)</f>
        <v>0.48999999999999994</v>
      </c>
      <c r="D61" s="6">
        <f>FEAS!D61*(1-BASE!D61)</f>
        <v>0.48999999999999994</v>
      </c>
      <c r="E61" s="6">
        <f>FEAS!E61*(1-BASE!E61)</f>
        <v>0.48999999999999994</v>
      </c>
      <c r="F61" s="6">
        <f>FEAS!F61*(1-BASE!F61)</f>
        <v>0.48999999999999994</v>
      </c>
    </row>
    <row r="62" spans="2:8">
      <c r="B62" s="41">
        <f>MLIST!D62</f>
        <v>0</v>
      </c>
      <c r="C62" s="6">
        <f>FEAS!C62*(1-BASE!C62)</f>
        <v>0</v>
      </c>
      <c r="D62" s="6">
        <f>FEAS!D62*(1-BASE!D62)</f>
        <v>0</v>
      </c>
      <c r="E62" s="6">
        <f>FEAS!E62*(1-BASE!E62)</f>
        <v>0</v>
      </c>
      <c r="F62" s="6">
        <f>FEAS!F62*(1-BASE!F62)</f>
        <v>0</v>
      </c>
    </row>
    <row r="63" spans="2:8">
      <c r="B63" s="41" t="str">
        <f>MLIST!D63</f>
        <v>Heat Recovery Ventilation - New</v>
      </c>
      <c r="C63" s="6">
        <f>FEAS!C63*(1-BASE!C63)</f>
        <v>0.89100000000000001</v>
      </c>
      <c r="D63" s="6">
        <f>FEAS!D63*(1-BASE!D63)</f>
        <v>0</v>
      </c>
      <c r="E63" s="6">
        <f>FEAS!E63*(1-BASE!E63)</f>
        <v>0</v>
      </c>
      <c r="F63" s="6">
        <f>FEAS!F63*(1-BASE!F63)</f>
        <v>0</v>
      </c>
    </row>
    <row r="64" spans="2:8">
      <c r="B64" s="41" t="str">
        <f>MLIST!D64</f>
        <v>GSHP - New</v>
      </c>
      <c r="C64" s="6">
        <f>FEAS!C64*(1-BASE!C64)</f>
        <v>0.12485156673907999</v>
      </c>
      <c r="D64" s="6">
        <f>FEAS!D64*(1-BASE!D64)</f>
        <v>0</v>
      </c>
      <c r="E64" s="6">
        <f>FEAS!E64*(1-BASE!E64)</f>
        <v>0</v>
      </c>
      <c r="F64" s="6">
        <f>FEAS!F64*(1-BASE!F64)</f>
        <v>0</v>
      </c>
    </row>
    <row r="65" spans="2:6">
      <c r="B65" s="41" t="str">
        <f>MLIST!D65</f>
        <v>GSHP - NR</v>
      </c>
      <c r="C65" s="6">
        <f>FEAS!C65*(1-BASE!C65)</f>
        <v>0.12485156673907999</v>
      </c>
      <c r="D65" s="6">
        <f>FEAS!D65*(1-BASE!D65)</f>
        <v>0</v>
      </c>
      <c r="E65" s="6">
        <f>FEAS!E65*(1-BASE!E65)</f>
        <v>0</v>
      </c>
      <c r="F65" s="6">
        <f>FEAS!F65*(1-BASE!F65)</f>
        <v>0</v>
      </c>
    </row>
    <row r="66" spans="2:6">
      <c r="B66" s="41">
        <f>MLIST!D66</f>
        <v>0</v>
      </c>
      <c r="C66" s="6">
        <f>FEAS!C66*(1-BASE!C66)</f>
        <v>0</v>
      </c>
      <c r="D66" s="6">
        <f>FEAS!D66*(1-BASE!D66)</f>
        <v>0</v>
      </c>
      <c r="E66" s="6">
        <f>FEAS!E66*(1-BASE!E66)</f>
        <v>0</v>
      </c>
      <c r="F66" s="6">
        <f>FEAS!F66*(1-BASE!F66)</f>
        <v>0</v>
      </c>
    </row>
    <row r="67" spans="2:6">
      <c r="B67" s="41" t="str">
        <f>MLIST!D67</f>
        <v>ECM for HVAC ventilation - New</v>
      </c>
      <c r="C67" s="6">
        <f>FEAS!C67*(1-BASE!C67)</f>
        <v>0</v>
      </c>
      <c r="D67" s="6">
        <f>FEAS!D67*(1-BASE!D67)</f>
        <v>0</v>
      </c>
      <c r="E67" s="6">
        <f>FEAS!E67*(1-BASE!E67)</f>
        <v>0</v>
      </c>
      <c r="F67" s="6">
        <f>FEAS!F67*(1-BASE!F67)</f>
        <v>0</v>
      </c>
    </row>
    <row r="68" spans="2:6">
      <c r="B68" s="41" t="str">
        <f>MLIST!D68</f>
        <v>ECM for HVAC ventilation - NR</v>
      </c>
      <c r="C68" s="6">
        <f>FEAS!C68*(1-BASE!C68)</f>
        <v>0</v>
      </c>
      <c r="D68" s="6">
        <f>FEAS!D68*(1-BASE!D68)</f>
        <v>0</v>
      </c>
      <c r="E68" s="6">
        <f>FEAS!E68*(1-BASE!E68)</f>
        <v>0</v>
      </c>
      <c r="F68" s="6">
        <f>FEAS!F68*(1-BASE!F68)</f>
        <v>0</v>
      </c>
    </row>
    <row r="69" spans="2:6">
      <c r="B69" s="41" t="str">
        <f>MLIST!D69</f>
        <v>Whole house/attic fan - New</v>
      </c>
      <c r="C69" s="6">
        <f>FEAS!C69*(1-BASE!C69)</f>
        <v>0</v>
      </c>
      <c r="D69" s="6">
        <f>FEAS!D69*(1-BASE!D69)</f>
        <v>0</v>
      </c>
      <c r="E69" s="6">
        <f>FEAS!E69*(1-BASE!E69)</f>
        <v>0</v>
      </c>
      <c r="F69" s="6">
        <f>FEAS!F69*(1-BASE!F69)</f>
        <v>0</v>
      </c>
    </row>
    <row r="70" spans="2:6">
      <c r="B70" s="41" t="str">
        <f>MLIST!D70</f>
        <v>Whole house/attic fan - Retro</v>
      </c>
      <c r="C70" s="6">
        <f>FEAS!C70*(1-BASE!C70)</f>
        <v>0</v>
      </c>
      <c r="D70" s="6">
        <f>FEAS!D70*(1-BASE!D70)</f>
        <v>0</v>
      </c>
      <c r="E70" s="6">
        <f>FEAS!E70*(1-BASE!E70)</f>
        <v>0</v>
      </c>
      <c r="F70" s="6">
        <f>FEAS!F70*(1-BASE!F70)</f>
        <v>0</v>
      </c>
    </row>
    <row r="71" spans="2:6">
      <c r="B71" s="41" t="str">
        <f>MLIST!D71</f>
        <v>WH Pipe insulation - Retro</v>
      </c>
      <c r="C71" s="6">
        <f>FEAS!C71*(1-BASE!C71)</f>
        <v>0</v>
      </c>
      <c r="D71" s="6">
        <f>FEAS!D71*(1-BASE!D71)</f>
        <v>0</v>
      </c>
      <c r="E71" s="6">
        <f>FEAS!E71*(1-BASE!E71)</f>
        <v>0</v>
      </c>
      <c r="F71" s="6">
        <f>FEAS!F71*(1-BASE!F71)</f>
        <v>0</v>
      </c>
    </row>
    <row r="72" spans="2:6">
      <c r="B72" s="41" t="str">
        <f>MLIST!D72</f>
        <v>DHP Ducted - NR</v>
      </c>
      <c r="C72" s="6">
        <f>FEAS!C72*(1-BASE!C72)</f>
        <v>0.2475</v>
      </c>
      <c r="D72" s="6">
        <f>FEAS!D72*(1-BASE!D72)</f>
        <v>0</v>
      </c>
      <c r="E72" s="6">
        <f>FEAS!E72*(1-BASE!E72)</f>
        <v>0</v>
      </c>
      <c r="F72" s="6">
        <f>FEAS!F72*(1-BASE!F72)</f>
        <v>0.74249999999999994</v>
      </c>
    </row>
    <row r="73" spans="2:6">
      <c r="B73" s="41" t="str">
        <f>MLIST!D73</f>
        <v>Advanced Power Strips - New</v>
      </c>
      <c r="C73" s="6">
        <f>FEAS!C73*(1-BASE!C73)</f>
        <v>0.33660000000000001</v>
      </c>
      <c r="D73" s="6">
        <f>FEAS!D73*(1-BASE!D73)</f>
        <v>0.2475</v>
      </c>
      <c r="E73" s="6">
        <f>FEAS!E73*(1-BASE!E73)</f>
        <v>0.2475</v>
      </c>
      <c r="F73" s="6">
        <f>FEAS!F73*(1-BASE!F73)</f>
        <v>0.2475</v>
      </c>
    </row>
    <row r="74" spans="2:6">
      <c r="B74" s="41" t="str">
        <f>MLIST!D74</f>
        <v>Advanced Power Strips - Retro</v>
      </c>
      <c r="C74" s="6">
        <f>FEAS!C74*(1-BASE!C74)</f>
        <v>0.33660000000000001</v>
      </c>
      <c r="D74" s="6">
        <f>FEAS!D74*(1-BASE!D74)</f>
        <v>0.2475</v>
      </c>
      <c r="E74" s="6">
        <f>FEAS!E74*(1-BASE!E74)</f>
        <v>0.2475</v>
      </c>
      <c r="F74" s="6">
        <f>FEAS!F74*(1-BASE!F74)</f>
        <v>0.2475</v>
      </c>
    </row>
    <row r="75" spans="2:6">
      <c r="B75" s="41" t="str">
        <f>MLIST!D75</f>
        <v>Controls Commissioning and Sizing - New</v>
      </c>
      <c r="C75" s="6">
        <f>FEAS!C75*(1-BASE!C75)</f>
        <v>0.76</v>
      </c>
      <c r="D75" s="6">
        <f>FEAS!D75*(1-BASE!D75)</f>
        <v>0</v>
      </c>
      <c r="E75" s="6">
        <f>FEAS!E75*(1-BASE!E75)</f>
        <v>0</v>
      </c>
      <c r="F75" s="6">
        <f>FEAS!F75*(1-BASE!F75)</f>
        <v>0.76</v>
      </c>
    </row>
    <row r="76" spans="2:6">
      <c r="B76" s="41" t="str">
        <f>MLIST!D76</f>
        <v>Controls Commissioning and Sizing - NR</v>
      </c>
      <c r="C76" s="6">
        <f>FEAS!C76*(1-BASE!C76)</f>
        <v>0.76</v>
      </c>
      <c r="D76" s="6">
        <f>FEAS!D76*(1-BASE!D76)</f>
        <v>0</v>
      </c>
      <c r="E76" s="6">
        <f>FEAS!E76*(1-BASE!E76)</f>
        <v>0</v>
      </c>
      <c r="F76" s="6">
        <f>FEAS!F76*(1-BASE!F76)</f>
        <v>0.76</v>
      </c>
    </row>
    <row r="77" spans="2:6">
      <c r="B77" s="41" t="str">
        <f>MLIST!D77</f>
        <v>ResWx - Retro</v>
      </c>
      <c r="C77" s="6">
        <f>FEAS!C77*(1-BASE!C75)</f>
        <v>0.95</v>
      </c>
      <c r="D77" s="6">
        <f>FEAS!D77*(1-BASE!D75)</f>
        <v>1</v>
      </c>
      <c r="E77" s="6">
        <f>FEAS!E77*(1-BASE!E75)</f>
        <v>0</v>
      </c>
      <c r="F77" s="6">
        <f>FEAS!F77*(1-BASE!F75)</f>
        <v>0.95</v>
      </c>
    </row>
    <row r="78" spans="2:6">
      <c r="B78" s="41" t="str">
        <f>MLIST!D78</f>
        <v>ATTIC R0 - R19 - Retro</v>
      </c>
      <c r="C78" s="6">
        <f>FEAS!C78*(1-BASE!C78)</f>
        <v>0</v>
      </c>
      <c r="D78" s="6">
        <f>FEAS!D78*(1-BASE!D78)</f>
        <v>5.4136342171710254E-2</v>
      </c>
      <c r="E78" s="6">
        <f>FEAS!E78*(1-BASE!E78)</f>
        <v>0</v>
      </c>
      <c r="F78" s="103">
        <f>FEAS!F78*(1-BASE!F78)</f>
        <v>0</v>
      </c>
    </row>
    <row r="79" spans="2:6">
      <c r="B79" s="41" t="str">
        <f>MLIST!D79</f>
        <v>ATTIC R0 - R22 - Retro</v>
      </c>
      <c r="C79" s="6">
        <f>FEAS!C79*(1-BASE!C79)</f>
        <v>0</v>
      </c>
      <c r="D79" s="6">
        <f>FEAS!D79*(1-BASE!D79)</f>
        <v>0</v>
      </c>
      <c r="E79" s="6">
        <f>FEAS!E79*(1-BASE!E79)</f>
        <v>0</v>
      </c>
      <c r="F79" s="103">
        <f>FEAS!F79*(1-BASE!F79)</f>
        <v>1.7654231774693385E-2</v>
      </c>
    </row>
    <row r="80" spans="2:6">
      <c r="B80" s="41" t="str">
        <f>MLIST!D80</f>
        <v>ATTIC R0 - R30 - Retro</v>
      </c>
      <c r="C80" s="6">
        <f>FEAS!C80*(1-BASE!C80)</f>
        <v>0</v>
      </c>
      <c r="D80" s="6">
        <f>FEAS!D80*(1-BASE!D80)</f>
        <v>0</v>
      </c>
      <c r="E80" s="6">
        <f>FEAS!E80*(1-BASE!E80)</f>
        <v>0</v>
      </c>
      <c r="F80" s="103">
        <f>FEAS!F80*(1-BASE!F80)</f>
        <v>5.370909487280473E-2</v>
      </c>
    </row>
    <row r="81" spans="2:6">
      <c r="B81" s="41" t="str">
        <f>MLIST!D81</f>
        <v>ATTIC R0 - R38 - Retro</v>
      </c>
      <c r="C81" s="103">
        <f>FEAS!C81*(1-BASE!C81)</f>
        <v>2.6948932736556339E-2</v>
      </c>
      <c r="D81" s="6">
        <f>FEAS!D81*(1-BASE!D81)</f>
        <v>1.0278311581146856E-2</v>
      </c>
      <c r="E81" s="6">
        <f>FEAS!E81*(1-BASE!E81)</f>
        <v>0</v>
      </c>
      <c r="F81" s="103">
        <f>FEAS!F81*(1-BASE!F81)</f>
        <v>0</v>
      </c>
    </row>
    <row r="82" spans="2:6">
      <c r="B82" s="41" t="str">
        <f>MLIST!D82</f>
        <v>ATTIC R0 - R49 - Retro</v>
      </c>
      <c r="C82" s="103">
        <f>FEAS!C82*(1-BASE!C82)</f>
        <v>1.4358977746069441E-2</v>
      </c>
      <c r="D82" s="6">
        <f>FEAS!D82*(1-BASE!D82)</f>
        <v>6.1309752137076318E-2</v>
      </c>
      <c r="E82" s="6">
        <f>FEAS!E82*(1-BASE!E82)</f>
        <v>0</v>
      </c>
      <c r="F82" s="103">
        <f>FEAS!F82*(1-BASE!F82)</f>
        <v>0</v>
      </c>
    </row>
    <row r="83" spans="2:6">
      <c r="B83" s="41" t="str">
        <f>MLIST!D83</f>
        <v>ATTIC R11 - R30 - Retro</v>
      </c>
      <c r="C83" s="103">
        <f>FEAS!C83*(1-BASE!C83)</f>
        <v>0</v>
      </c>
      <c r="D83" s="6">
        <f>FEAS!D83*(1-BASE!D83)</f>
        <v>0</v>
      </c>
      <c r="E83" s="6">
        <f>FEAS!E83*(1-BASE!E83)</f>
        <v>0</v>
      </c>
      <c r="F83" s="103">
        <f>FEAS!F83*(1-BASE!F83)</f>
        <v>1.0533305070999921E-3</v>
      </c>
    </row>
    <row r="84" spans="2:6">
      <c r="B84" s="41" t="str">
        <f>MLIST!D84</f>
        <v>ATTIC R11 - R38 - Retro</v>
      </c>
      <c r="C84" s="6">
        <f>FEAS!C84*(1-BASE!C84)</f>
        <v>2.3103174790355906E-2</v>
      </c>
      <c r="D84" s="6">
        <f>FEAS!D84*(1-BASE!D84)</f>
        <v>0</v>
      </c>
      <c r="E84" s="6">
        <f>FEAS!E84*(1-BASE!E84)</f>
        <v>0</v>
      </c>
      <c r="F84" s="103">
        <f>FEAS!F84*(1-BASE!F84)</f>
        <v>0</v>
      </c>
    </row>
    <row r="85" spans="2:6">
      <c r="B85" s="41" t="str">
        <f>MLIST!D85</f>
        <v>ATTIC R11 - R49 - Retro</v>
      </c>
      <c r="C85" s="6">
        <f>FEAS!C85*(1-BASE!C85)</f>
        <v>1.8130132136117076E-2</v>
      </c>
      <c r="D85" s="6">
        <f>FEAS!D85*(1-BASE!D85)</f>
        <v>0</v>
      </c>
      <c r="E85" s="6">
        <f>FEAS!E85*(1-BASE!E85)</f>
        <v>0</v>
      </c>
      <c r="F85" s="103">
        <f>FEAS!F85*(1-BASE!F85)</f>
        <v>0</v>
      </c>
    </row>
    <row r="86" spans="2:6">
      <c r="B86" s="41" t="str">
        <f>MLIST!D86</f>
        <v>ATTIC R19 - R30 - Retro</v>
      </c>
      <c r="C86" s="6">
        <f>FEAS!C86*(1-BASE!C86)</f>
        <v>0</v>
      </c>
      <c r="D86" s="6">
        <f>FEAS!D86*(1-BASE!D86)</f>
        <v>6.290255489213914E-2</v>
      </c>
      <c r="E86" s="6">
        <f>FEAS!E86*(1-BASE!E86)</f>
        <v>0</v>
      </c>
      <c r="F86" s="103">
        <f>FEAS!F86*(1-BASE!F86)</f>
        <v>0</v>
      </c>
    </row>
    <row r="87" spans="2:6">
      <c r="B87" s="41" t="str">
        <f>MLIST!D87</f>
        <v>ATTIC R19 - R38 - Retro</v>
      </c>
      <c r="C87" s="6">
        <f>FEAS!C87*(1-BASE!C87)</f>
        <v>7.7383620685619386E-3</v>
      </c>
      <c r="D87" s="6">
        <f>FEAS!D87*(1-BASE!D87)</f>
        <v>9.7100069732044877E-3</v>
      </c>
      <c r="E87" s="6">
        <f>FEAS!E87*(1-BASE!E87)</f>
        <v>0</v>
      </c>
      <c r="F87" s="103">
        <f>FEAS!F87*(1-BASE!F87)</f>
        <v>0</v>
      </c>
    </row>
    <row r="88" spans="2:6">
      <c r="B88" s="41" t="str">
        <f>MLIST!D88</f>
        <v>ATTIC R19 - R49 - Retro</v>
      </c>
      <c r="C88" s="6">
        <f>FEAS!C88*(1-BASE!C88)</f>
        <v>1.6661606179553163E-2</v>
      </c>
      <c r="D88" s="6">
        <f>FEAS!D88*(1-BASE!D88)</f>
        <v>0.14262615254337155</v>
      </c>
      <c r="E88" s="6">
        <f>FEAS!E88*(1-BASE!E88)</f>
        <v>0</v>
      </c>
      <c r="F88" s="103">
        <f>FEAS!F88*(1-BASE!F88)</f>
        <v>0</v>
      </c>
    </row>
    <row r="89" spans="2:6">
      <c r="B89" s="41" t="str">
        <f>MLIST!D89</f>
        <v>WALL R0 - R11 - Retro</v>
      </c>
      <c r="C89" s="6">
        <f>FEAS!C89*(1-BASE!C89)</f>
        <v>7.4675545798828291E-2</v>
      </c>
      <c r="D89" s="6">
        <f>FEAS!D89*(1-BASE!D89)</f>
        <v>7.6999999999999957E-2</v>
      </c>
      <c r="E89" s="6">
        <f>FEAS!E89*(1-BASE!E89)</f>
        <v>0</v>
      </c>
      <c r="F89" s="103">
        <f>FEAS!F89*(1-BASE!F89)</f>
        <v>0</v>
      </c>
    </row>
    <row r="90" spans="2:6">
      <c r="B90" s="41" t="str">
        <f>MLIST!D90</f>
        <v>FLOOR R0 - R19 - Retro</v>
      </c>
      <c r="C90" s="6">
        <f>FEAS!C90*(1-BASE!C90)</f>
        <v>7.534861538514051E-2</v>
      </c>
      <c r="D90" s="6">
        <f>FEAS!D90*(1-BASE!D90)</f>
        <v>2.0626779203887391E-2</v>
      </c>
      <c r="E90" s="6">
        <f>FEAS!E90*(1-BASE!E90)</f>
        <v>0</v>
      </c>
      <c r="F90" s="103">
        <f>FEAS!F90*(1-BASE!F90)</f>
        <v>0</v>
      </c>
    </row>
    <row r="91" spans="2:6">
      <c r="B91" s="41" t="str">
        <f>MLIST!D91</f>
        <v>FLOOR R0 - R22 - Retro</v>
      </c>
      <c r="C91" s="6">
        <f>FEAS!C91*(1-BASE!C91)</f>
        <v>0</v>
      </c>
      <c r="D91" s="6">
        <f>FEAS!D91*(1-BASE!D91)</f>
        <v>0</v>
      </c>
      <c r="E91" s="6">
        <f>FEAS!E91*(1-BASE!E91)</f>
        <v>0</v>
      </c>
      <c r="F91" s="103">
        <f>FEAS!F91*(1-BASE!F91)</f>
        <v>1.0665247527328225E-2</v>
      </c>
    </row>
    <row r="92" spans="2:6">
      <c r="B92" s="41" t="str">
        <f>MLIST!D92</f>
        <v>FLOOR R0 - R25 - Retro</v>
      </c>
      <c r="C92" s="6">
        <f>FEAS!C92*(1-BASE!C92)</f>
        <v>4.3566362460577185E-2</v>
      </c>
      <c r="D92" s="6">
        <f>FEAS!D92*(1-BASE!D92)</f>
        <v>0</v>
      </c>
      <c r="E92" s="6">
        <f>FEAS!E92*(1-BASE!E92)</f>
        <v>0</v>
      </c>
      <c r="F92" s="103">
        <f>FEAS!F92*(1-BASE!F92)</f>
        <v>0</v>
      </c>
    </row>
    <row r="93" spans="2:6">
      <c r="B93" s="41" t="str">
        <f>MLIST!D93</f>
        <v>FLOOR R0 - R30 - Retro</v>
      </c>
      <c r="C93" s="6">
        <f>FEAS!C93*(1-BASE!C93)</f>
        <v>0.1005447281406957</v>
      </c>
      <c r="D93" s="6">
        <f>FEAS!D93*(1-BASE!D93)</f>
        <v>0.22837322079611261</v>
      </c>
      <c r="E93" s="6">
        <f>FEAS!E93*(1-BASE!E93)</f>
        <v>0</v>
      </c>
      <c r="F93" s="103">
        <f>FEAS!F93*(1-BASE!F93)</f>
        <v>0</v>
      </c>
    </row>
    <row r="94" spans="2:6">
      <c r="B94" s="41" t="str">
        <f>MLIST!D94</f>
        <v>FLOOR R11 - R22 - Retro</v>
      </c>
      <c r="C94" s="6">
        <f>FEAS!C94*(1-BASE!C94)</f>
        <v>0</v>
      </c>
      <c r="D94" s="6">
        <f>FEAS!D94*(1-BASE!D94)</f>
        <v>0</v>
      </c>
      <c r="E94" s="6">
        <f>FEAS!E94*(1-BASE!E94)</f>
        <v>0</v>
      </c>
      <c r="F94" s="103">
        <f>FEAS!F94*(1-BASE!F94)</f>
        <v>1.6234206236719673E-2</v>
      </c>
    </row>
    <row r="95" spans="2:6">
      <c r="B95" s="41" t="str">
        <f>MLIST!D95</f>
        <v>WINDOW CL30 Prime Window Replacement of Single Pane Base - Retro</v>
      </c>
      <c r="C95" s="6">
        <f>FEAS!C95*(1-BASE!C95)</f>
        <v>1.9442601061513898E-2</v>
      </c>
      <c r="D95" s="6">
        <f>FEAS!D95*(1-BASE!D95)</f>
        <v>0.11958359544917095</v>
      </c>
      <c r="E95" s="6">
        <f>FEAS!E95*(1-BASE!E95)</f>
        <v>0</v>
      </c>
      <c r="F95" s="103">
        <f>FEAS!F95*(1-BASE!F95)</f>
        <v>1.3677383586228942E-2</v>
      </c>
    </row>
    <row r="96" spans="2:6">
      <c r="B96" s="41" t="str">
        <f>MLIST!D96</f>
        <v>WINDOW CL30 Prime Window Replacement of Double Pane Base - Retro</v>
      </c>
      <c r="C96" s="6">
        <f>FEAS!C96*(1-BASE!C96)</f>
        <v>0.71840695226153939</v>
      </c>
      <c r="D96" s="6">
        <f>FEAS!D96*(1-BASE!D96)</f>
        <v>0.64696155480151862</v>
      </c>
      <c r="E96" s="6">
        <f>FEAS!E96*(1-BASE!E96)</f>
        <v>0</v>
      </c>
      <c r="F96" s="103">
        <f>FEAS!F96*(1-BASE!F96)</f>
        <v>6.9568000974991058E-4</v>
      </c>
    </row>
    <row r="97" spans="2:6">
      <c r="B97" s="41" t="str">
        <f>MLIST!D97</f>
        <v>WINDOW CL22 Prime Window Replacement of Single Pane Base - Retro</v>
      </c>
      <c r="C97" s="6">
        <f>FEAS!C97*(1-BASE!C97)</f>
        <v>4.8606502653784746E-3</v>
      </c>
      <c r="D97" s="6">
        <f>FEAS!D97*(1-BASE!D97)</f>
        <v>2.9895898862292738E-2</v>
      </c>
      <c r="E97" s="6">
        <f>FEAS!E97*(1-BASE!E97)</f>
        <v>0</v>
      </c>
      <c r="F97" s="103">
        <f>FEAS!F97*(1-BASE!F97)</f>
        <v>3.4193458965572354E-3</v>
      </c>
    </row>
    <row r="98" spans="2:6">
      <c r="B98" s="41" t="str">
        <f>MLIST!D98</f>
        <v>WINDOW CL22 Prime Window Replacement of Double Pane Base - Retro</v>
      </c>
      <c r="C98" s="6">
        <f>FEAS!C98*(1-BASE!C98)</f>
        <v>0.17960173806538485</v>
      </c>
      <c r="D98" s="6">
        <f>FEAS!D98*(1-BASE!D98)</f>
        <v>0.16174038870037966</v>
      </c>
      <c r="E98" s="6">
        <f>FEAS!E98*(1-BASE!E98)</f>
        <v>0</v>
      </c>
      <c r="F98" s="103">
        <f>FEAS!F98*(1-BASE!F98)</f>
        <v>1.7392000243747764E-4</v>
      </c>
    </row>
    <row r="99" spans="2:6">
      <c r="B99" s="41" t="str">
        <f>MLIST!D99</f>
        <v>CFM50 Infiltration Reduction - Retro</v>
      </c>
      <c r="C99" s="6">
        <f>FEAS!C99*(1-BASE!C99)</f>
        <v>0.3489194352936118</v>
      </c>
      <c r="D99" s="6">
        <f>FEAS!D99*(1-BASE!D99)</f>
        <v>0.5</v>
      </c>
      <c r="E99" s="6">
        <f>FEAS!E99*(1-BASE!E99)</f>
        <v>0</v>
      </c>
      <c r="F99" s="103">
        <f>FEAS!F99*(1-BASE!F99)</f>
        <v>8.366655018171143E-2</v>
      </c>
    </row>
    <row r="100" spans="2:6">
      <c r="B100" s="41"/>
      <c r="C100" s="6">
        <f>FEAS!C100*(1-BASE!C100)</f>
        <v>0</v>
      </c>
      <c r="D100" s="6">
        <f>FEAS!D100*(1-BASE!D100)</f>
        <v>0</v>
      </c>
      <c r="E100" s="6">
        <f>FEAS!E100*(1-BASE!E100)</f>
        <v>0</v>
      </c>
      <c r="F100" s="103">
        <f>FEAS!F100*(1-BASE!F100)</f>
        <v>0</v>
      </c>
    </row>
    <row r="101" spans="2:6">
      <c r="B101" s="41"/>
    </row>
    <row r="102" spans="2:6">
      <c r="B102" s="41"/>
    </row>
    <row r="103" spans="2:6">
      <c r="B103" s="41"/>
    </row>
    <row r="104" spans="2:6">
      <c r="B104" s="41"/>
    </row>
    <row r="105" spans="2:6">
      <c r="B105" s="41"/>
    </row>
    <row r="106" spans="2:6">
      <c r="B106" s="41"/>
    </row>
    <row r="107" spans="2:6">
      <c r="B107" s="41"/>
    </row>
    <row r="108" spans="2:6">
      <c r="B108" s="41"/>
    </row>
    <row r="109" spans="2:6">
      <c r="B109" s="41"/>
    </row>
    <row r="110" spans="2:6">
      <c r="B110" s="41"/>
    </row>
    <row r="111" spans="2:6">
      <c r="B111" s="41"/>
    </row>
    <row r="112" spans="2:6">
      <c r="B112" s="41"/>
    </row>
    <row r="113" spans="2:2">
      <c r="B113" s="41"/>
    </row>
    <row r="114" spans="2:2">
      <c r="B114" s="41"/>
    </row>
    <row r="115" spans="2:2">
      <c r="B115" s="41"/>
    </row>
    <row r="116" spans="2:2">
      <c r="B116" s="41"/>
    </row>
    <row r="117" spans="2:2">
      <c r="B117" s="41"/>
    </row>
    <row r="118" spans="2:2">
      <c r="B118" s="41"/>
    </row>
    <row r="119" spans="2:2">
      <c r="B119" s="41"/>
    </row>
    <row r="120" spans="2:2">
      <c r="B120" s="41"/>
    </row>
    <row r="121" spans="2:2">
      <c r="B121" s="41"/>
    </row>
    <row r="122" spans="2:2">
      <c r="B122" s="41"/>
    </row>
    <row r="123" spans="2:2">
      <c r="B123" s="41"/>
    </row>
    <row r="124" spans="2:2">
      <c r="B124" s="41"/>
    </row>
    <row r="125" spans="2:2">
      <c r="B125" s="41"/>
    </row>
    <row r="126" spans="2:2">
      <c r="B126" s="41"/>
    </row>
    <row r="127" spans="2:2">
      <c r="B127" s="41"/>
    </row>
    <row r="128" spans="2:2">
      <c r="B128" s="41"/>
    </row>
    <row r="129" spans="2:2">
      <c r="B129" s="41"/>
    </row>
    <row r="130" spans="2:2">
      <c r="B130" s="41"/>
    </row>
    <row r="131" spans="2:2">
      <c r="B131" s="41"/>
    </row>
    <row r="132" spans="2:2">
      <c r="B132" s="41"/>
    </row>
    <row r="133" spans="2:2">
      <c r="B133" s="41"/>
    </row>
    <row r="134" spans="2:2">
      <c r="B134" s="41"/>
    </row>
    <row r="135" spans="2:2">
      <c r="B135" s="41"/>
    </row>
    <row r="136" spans="2:2">
      <c r="B136" s="41"/>
    </row>
    <row r="137" spans="2:2">
      <c r="B137" s="41"/>
    </row>
    <row r="138" spans="2:2">
      <c r="B138" s="41"/>
    </row>
    <row r="139" spans="2:2">
      <c r="B139" s="41"/>
    </row>
    <row r="140" spans="2:2">
      <c r="B140" s="41"/>
    </row>
    <row r="141" spans="2:2">
      <c r="B141" s="41"/>
    </row>
    <row r="142" spans="2:2">
      <c r="B142" s="41"/>
    </row>
    <row r="143" spans="2:2">
      <c r="B143" s="41"/>
    </row>
    <row r="144" spans="2:2">
      <c r="B144" s="41"/>
    </row>
    <row r="145" spans="2:2">
      <c r="B145" s="41"/>
    </row>
    <row r="146" spans="2:2">
      <c r="B146" s="41"/>
    </row>
    <row r="147" spans="2:2">
      <c r="B147" s="41"/>
    </row>
    <row r="148" spans="2:2">
      <c r="B148" s="41"/>
    </row>
    <row r="149" spans="2:2">
      <c r="B149" s="41"/>
    </row>
    <row r="150" spans="2:2">
      <c r="B150" s="41"/>
    </row>
    <row r="151" spans="2:2">
      <c r="B151" s="41"/>
    </row>
    <row r="152" spans="2:2">
      <c r="B152" s="41"/>
    </row>
    <row r="153" spans="2:2">
      <c r="B153" s="41"/>
    </row>
    <row r="154" spans="2:2">
      <c r="B154" s="41"/>
    </row>
    <row r="155" spans="2:2">
      <c r="B155" s="41"/>
    </row>
    <row r="156" spans="2:2">
      <c r="B156" s="4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1" enableFormatConditionsCalculation="0">
    <tabColor rgb="FFFF0000"/>
    <pageSetUpPr fitToPage="1"/>
  </sheetPr>
  <dimension ref="A1:H163"/>
  <sheetViews>
    <sheetView topLeftCell="B1" workbookViewId="0">
      <pane xSplit="1" ySplit="8" topLeftCell="C9" activePane="bottomRight" state="frozen"/>
      <selection activeCell="A47" sqref="A47:IV49"/>
      <selection pane="topRight" activeCell="A47" sqref="A47:IV49"/>
      <selection pane="bottomLeft" activeCell="A47" sqref="A47:IV49"/>
      <selection pane="bottomRight" activeCell="C11" sqref="C11:F11"/>
    </sheetView>
  </sheetViews>
  <sheetFormatPr defaultRowHeight="12.75"/>
  <cols>
    <col min="1" max="1" width="14.7109375" customWidth="1"/>
    <col min="2" max="2" width="53.42578125" customWidth="1"/>
    <col min="4" max="4" width="10.5703125" customWidth="1"/>
    <col min="6" max="6" width="7.42578125" customWidth="1"/>
    <col min="7" max="7" width="10.7109375" customWidth="1"/>
  </cols>
  <sheetData>
    <row r="1" spans="1:8">
      <c r="A1" t="s">
        <v>94</v>
      </c>
      <c r="B1" t="s">
        <v>170</v>
      </c>
      <c r="D1" s="25" t="str">
        <f ca="1">CELL("filename")</f>
        <v>\\nas2\Q\SeventhPlan\Conservation Analysis\Charts\[ConsBundle_withCharts_032615.xlsx]aMW-MAX</v>
      </c>
    </row>
    <row r="2" spans="1:8">
      <c r="B2" s="25"/>
    </row>
    <row r="3" spans="1:8">
      <c r="B3" s="37"/>
      <c r="C3" s="30"/>
      <c r="D3" s="30"/>
      <c r="E3" s="30"/>
      <c r="F3" s="30"/>
    </row>
    <row r="4" spans="1:8">
      <c r="B4" s="37"/>
      <c r="C4" s="30"/>
      <c r="D4" s="30"/>
      <c r="E4" s="30"/>
      <c r="F4" s="30"/>
    </row>
    <row r="5" spans="1:8">
      <c r="B5" s="37"/>
    </row>
    <row r="6" spans="1:8">
      <c r="B6" s="57"/>
      <c r="G6" s="1"/>
      <c r="H6" s="1"/>
    </row>
    <row r="7" spans="1:8">
      <c r="A7" s="1"/>
      <c r="B7" s="1">
        <f>COLUMN()-1</f>
        <v>1</v>
      </c>
      <c r="C7" s="1">
        <f t="shared" ref="C7:F7" si="0">COLUMN()-1</f>
        <v>2</v>
      </c>
      <c r="D7" s="1">
        <f t="shared" si="0"/>
        <v>3</v>
      </c>
      <c r="E7" s="1">
        <f t="shared" si="0"/>
        <v>4</v>
      </c>
      <c r="F7" s="1">
        <f t="shared" si="0"/>
        <v>5</v>
      </c>
    </row>
    <row r="8" spans="1:8">
      <c r="A8" s="28" t="s">
        <v>39</v>
      </c>
      <c r="B8" s="28" t="s">
        <v>81</v>
      </c>
      <c r="C8" s="3" t="s">
        <v>135</v>
      </c>
      <c r="D8" s="3" t="s">
        <v>136</v>
      </c>
      <c r="E8" s="3" t="s">
        <v>137</v>
      </c>
      <c r="F8" s="3" t="s">
        <v>138</v>
      </c>
      <c r="G8" s="3" t="s">
        <v>34</v>
      </c>
    </row>
    <row r="9" spans="1:8" ht="12.6" customHeight="1">
      <c r="B9" s="41" t="str">
        <f>MLIST!D9</f>
        <v>Lighting - New</v>
      </c>
      <c r="C9" s="6">
        <v>1</v>
      </c>
      <c r="D9" s="6">
        <v>1</v>
      </c>
      <c r="E9" s="6">
        <v>1</v>
      </c>
      <c r="F9" s="6">
        <v>1</v>
      </c>
    </row>
    <row r="10" spans="1:8">
      <c r="B10" s="41" t="str">
        <f>MLIST!D10</f>
        <v>Lighting - NR</v>
      </c>
      <c r="C10" s="6">
        <v>1</v>
      </c>
      <c r="D10" s="6">
        <v>1</v>
      </c>
      <c r="E10" s="6">
        <v>1</v>
      </c>
      <c r="F10" s="6">
        <v>1</v>
      </c>
    </row>
    <row r="11" spans="1:8">
      <c r="B11" s="41" t="str">
        <f>MLIST!D11</f>
        <v>Lighting - PPA</v>
      </c>
      <c r="C11" s="6">
        <v>1</v>
      </c>
      <c r="D11" s="6">
        <v>1</v>
      </c>
      <c r="E11" s="6">
        <v>1</v>
      </c>
      <c r="F11" s="6">
        <v>1</v>
      </c>
    </row>
    <row r="12" spans="1:8">
      <c r="B12" s="41" t="str">
        <f>MLIST!D12</f>
        <v>Dishwasher - New</v>
      </c>
      <c r="C12" s="6">
        <v>1</v>
      </c>
      <c r="D12" s="6">
        <v>1</v>
      </c>
      <c r="E12" s="6">
        <v>1</v>
      </c>
      <c r="F12" s="6">
        <v>1</v>
      </c>
    </row>
    <row r="13" spans="1:8">
      <c r="B13" s="41" t="str">
        <f>MLIST!D13</f>
        <v>Dishwasher - NR</v>
      </c>
      <c r="C13" s="7">
        <v>1</v>
      </c>
      <c r="D13" s="7">
        <v>1</v>
      </c>
      <c r="E13" s="7">
        <v>1</v>
      </c>
      <c r="F13" s="7">
        <v>1</v>
      </c>
    </row>
    <row r="14" spans="1:8">
      <c r="B14" s="41" t="str">
        <f>MLIST!D14</f>
        <v>Clothes Washer - New</v>
      </c>
      <c r="C14" s="7">
        <v>1</v>
      </c>
      <c r="D14" s="7">
        <v>0.75</v>
      </c>
      <c r="E14" s="7">
        <v>0.75</v>
      </c>
      <c r="F14" s="7">
        <v>1</v>
      </c>
      <c r="G14" t="s">
        <v>544</v>
      </c>
    </row>
    <row r="15" spans="1:8">
      <c r="B15" s="41" t="str">
        <f>MLIST!D15</f>
        <v>Clothes Washer - NR</v>
      </c>
      <c r="C15" s="7">
        <v>1</v>
      </c>
      <c r="D15" s="7">
        <v>0.75</v>
      </c>
      <c r="E15" s="7">
        <v>0.75</v>
      </c>
      <c r="F15" s="7">
        <v>1</v>
      </c>
      <c r="G15" t="s">
        <v>544</v>
      </c>
    </row>
    <row r="16" spans="1:8">
      <c r="B16" s="41" t="str">
        <f>MLIST!D16</f>
        <v>WasteWater Heat Recovery - New</v>
      </c>
      <c r="C16" s="7">
        <v>0.9</v>
      </c>
      <c r="D16" s="7">
        <v>0.5</v>
      </c>
      <c r="E16" s="7">
        <v>0.9</v>
      </c>
      <c r="F16" s="7">
        <v>0</v>
      </c>
      <c r="G16" t="s">
        <v>436</v>
      </c>
    </row>
    <row r="17" spans="2:8">
      <c r="B17" s="41" t="str">
        <f>MLIST!D17</f>
        <v>Showerheads - New</v>
      </c>
      <c r="C17" s="7">
        <v>1</v>
      </c>
      <c r="D17" s="7">
        <v>1</v>
      </c>
      <c r="E17" s="7">
        <v>1</v>
      </c>
      <c r="F17" s="7">
        <v>1</v>
      </c>
    </row>
    <row r="18" spans="2:8">
      <c r="B18" s="41" t="str">
        <f>MLIST!D18</f>
        <v>Showerheads - Retro</v>
      </c>
      <c r="C18" s="7">
        <v>1</v>
      </c>
      <c r="D18" s="7">
        <v>1</v>
      </c>
      <c r="E18" s="7">
        <v>1</v>
      </c>
      <c r="F18" s="7">
        <v>1</v>
      </c>
    </row>
    <row r="19" spans="2:8">
      <c r="B19" s="41" t="str">
        <f>MLIST!D19</f>
        <v>HPWH - New</v>
      </c>
      <c r="C19" s="7">
        <v>0.95</v>
      </c>
      <c r="D19" s="7">
        <v>0</v>
      </c>
      <c r="E19" s="7">
        <v>0</v>
      </c>
      <c r="F19" s="7">
        <v>0.95</v>
      </c>
      <c r="G19" t="s">
        <v>455</v>
      </c>
    </row>
    <row r="20" spans="2:8">
      <c r="B20" s="41" t="str">
        <f>MLIST!D20</f>
        <v>HPWH - NR</v>
      </c>
      <c r="C20" s="7">
        <v>0.95</v>
      </c>
      <c r="D20" s="7">
        <v>0</v>
      </c>
      <c r="E20" s="7">
        <v>0</v>
      </c>
      <c r="F20" s="7">
        <v>0.95</v>
      </c>
    </row>
    <row r="21" spans="2:8">
      <c r="B21" s="41" t="str">
        <f>MLIST!D21</f>
        <v>EV Supply Equip - NR</v>
      </c>
      <c r="C21" s="7">
        <v>0.9</v>
      </c>
      <c r="D21" s="7">
        <v>0</v>
      </c>
      <c r="E21" s="7">
        <v>0</v>
      </c>
      <c r="F21" s="7">
        <v>0</v>
      </c>
      <c r="G21" t="s">
        <v>459</v>
      </c>
    </row>
    <row r="22" spans="2:8" s="8" customFormat="1">
      <c r="B22" s="41" t="str">
        <f>MLIST!D22</f>
        <v>Clothes Dryer - New</v>
      </c>
      <c r="C22" s="7">
        <v>0.9</v>
      </c>
      <c r="D22" s="7">
        <v>0.9</v>
      </c>
      <c r="E22" s="7">
        <v>0.9</v>
      </c>
      <c r="F22" s="7">
        <v>0.9</v>
      </c>
      <c r="G22" t="s">
        <v>466</v>
      </c>
      <c r="H22"/>
    </row>
    <row r="23" spans="2:8" s="8" customFormat="1">
      <c r="B23" s="41" t="str">
        <f>MLIST!D23</f>
        <v>Clothes Dryer - NR</v>
      </c>
      <c r="C23" s="7">
        <v>0.9</v>
      </c>
      <c r="D23" s="7">
        <v>0.9</v>
      </c>
      <c r="E23" s="7">
        <v>0.9</v>
      </c>
      <c r="F23" s="7">
        <v>0.9</v>
      </c>
      <c r="G23"/>
      <c r="H23"/>
    </row>
    <row r="24" spans="2:8">
      <c r="B24" s="41" t="str">
        <f>MLIST!D24</f>
        <v>Refrigerator - New</v>
      </c>
      <c r="C24" s="7">
        <v>1</v>
      </c>
      <c r="D24" s="7">
        <v>1</v>
      </c>
      <c r="E24" s="7">
        <v>1</v>
      </c>
      <c r="F24" s="7">
        <v>1</v>
      </c>
    </row>
    <row r="25" spans="2:8">
      <c r="B25" s="41" t="str">
        <f>MLIST!D25</f>
        <v>Refrigerator - NR</v>
      </c>
      <c r="C25" s="7">
        <v>1</v>
      </c>
      <c r="D25" s="7">
        <v>1</v>
      </c>
      <c r="E25" s="7">
        <v>1</v>
      </c>
      <c r="F25" s="7">
        <v>1</v>
      </c>
    </row>
    <row r="26" spans="2:8">
      <c r="B26" s="41" t="str">
        <f>MLIST!D26</f>
        <v>Freezer - New</v>
      </c>
      <c r="C26" s="7">
        <v>1</v>
      </c>
      <c r="D26" s="7">
        <v>1</v>
      </c>
      <c r="E26" s="7">
        <v>1</v>
      </c>
      <c r="F26" s="7">
        <v>1</v>
      </c>
    </row>
    <row r="27" spans="2:8">
      <c r="B27" s="41" t="str">
        <f>MLIST!D27</f>
        <v>Freezer - NR</v>
      </c>
      <c r="C27" s="7">
        <v>1</v>
      </c>
      <c r="D27" s="7">
        <v>1</v>
      </c>
      <c r="E27" s="7">
        <v>1</v>
      </c>
      <c r="F27" s="7">
        <v>1</v>
      </c>
    </row>
    <row r="28" spans="2:8" s="8" customFormat="1">
      <c r="B28" s="41" t="str">
        <f>MLIST!D28</f>
        <v>Solar Water Heater - New</v>
      </c>
      <c r="C28" s="7">
        <v>0.25</v>
      </c>
      <c r="D28" s="7">
        <v>0.25</v>
      </c>
      <c r="E28" s="7"/>
      <c r="F28" s="7"/>
      <c r="G28"/>
      <c r="H28"/>
    </row>
    <row r="29" spans="2:8" s="8" customFormat="1">
      <c r="B29" s="41" t="str">
        <f>MLIST!D29</f>
        <v>Solar Water Heater - NR</v>
      </c>
      <c r="C29" s="7">
        <v>0.25</v>
      </c>
      <c r="D29" s="7">
        <v>0.25</v>
      </c>
      <c r="E29" s="7"/>
      <c r="F29" s="7"/>
      <c r="G29"/>
      <c r="H29"/>
    </row>
    <row r="30" spans="2:8" s="8" customFormat="1">
      <c r="B30" s="41" t="str">
        <f>MLIST!D30</f>
        <v>Solar Water Heater - Retro</v>
      </c>
      <c r="C30" s="7">
        <v>0.25</v>
      </c>
      <c r="D30" s="7">
        <v>0.25</v>
      </c>
      <c r="E30" s="7"/>
      <c r="F30" s="7"/>
      <c r="G30"/>
      <c r="H30"/>
    </row>
    <row r="31" spans="2:8" s="8" customFormat="1">
      <c r="B31" s="41">
        <f>MLIST!D31</f>
        <v>0</v>
      </c>
      <c r="C31" s="23"/>
      <c r="D31" s="23"/>
      <c r="E31" s="23"/>
      <c r="F31" s="23"/>
      <c r="G31"/>
      <c r="H31"/>
    </row>
    <row r="32" spans="2:8" s="8" customFormat="1">
      <c r="B32" s="41">
        <f>MLIST!D32</f>
        <v>0</v>
      </c>
      <c r="C32" s="23"/>
      <c r="D32" s="23"/>
      <c r="E32" s="23"/>
      <c r="F32" s="23"/>
      <c r="G32"/>
      <c r="H32"/>
    </row>
    <row r="33" spans="1:8" s="8" customFormat="1">
      <c r="B33" s="41" t="str">
        <f>MLIST!D33</f>
        <v>Electric Oven - New</v>
      </c>
      <c r="C33" s="23">
        <v>1</v>
      </c>
      <c r="D33" s="23">
        <v>1</v>
      </c>
      <c r="E33" s="23">
        <v>1</v>
      </c>
      <c r="F33" s="23">
        <v>1</v>
      </c>
      <c r="G33"/>
      <c r="H33"/>
    </row>
    <row r="34" spans="1:8" s="8" customFormat="1">
      <c r="B34" s="41" t="str">
        <f>MLIST!D34</f>
        <v>Electric Oven - NR</v>
      </c>
      <c r="C34" s="7">
        <v>1</v>
      </c>
      <c r="D34" s="7">
        <v>1</v>
      </c>
      <c r="E34" s="7">
        <v>1</v>
      </c>
      <c r="F34" s="7">
        <v>1</v>
      </c>
      <c r="G34"/>
      <c r="H34"/>
    </row>
    <row r="35" spans="1:8" s="8" customFormat="1">
      <c r="B35" s="41" t="str">
        <f>MLIST!D35</f>
        <v>Microwave - New</v>
      </c>
      <c r="C35" s="7">
        <v>1</v>
      </c>
      <c r="D35" s="7">
        <v>1</v>
      </c>
      <c r="E35" s="7">
        <v>1</v>
      </c>
      <c r="F35" s="7">
        <v>1</v>
      </c>
      <c r="G35"/>
      <c r="H35"/>
    </row>
    <row r="36" spans="1:8" s="8" customFormat="1">
      <c r="B36" s="41" t="str">
        <f>MLIST!D36</f>
        <v>Microwave - NR</v>
      </c>
      <c r="C36" s="7">
        <v>1</v>
      </c>
      <c r="D36" s="7">
        <v>1</v>
      </c>
      <c r="E36" s="7">
        <v>1</v>
      </c>
      <c r="F36" s="7">
        <v>1</v>
      </c>
      <c r="G36"/>
      <c r="H36"/>
    </row>
    <row r="37" spans="1:8">
      <c r="B37" s="41" t="str">
        <f>MLIST!D37</f>
        <v>Monitor - New</v>
      </c>
      <c r="C37" s="7">
        <v>1</v>
      </c>
      <c r="D37" s="7">
        <v>1</v>
      </c>
      <c r="E37" s="7">
        <v>1</v>
      </c>
      <c r="F37" s="7">
        <v>1</v>
      </c>
    </row>
    <row r="38" spans="1:8" s="8" customFormat="1">
      <c r="A38" s="22"/>
      <c r="B38" s="41" t="str">
        <f>MLIST!D38</f>
        <v>Monitor - NR</v>
      </c>
      <c r="C38" s="7">
        <v>1</v>
      </c>
      <c r="D38" s="7">
        <v>1</v>
      </c>
      <c r="E38" s="7">
        <v>1</v>
      </c>
      <c r="F38" s="7">
        <v>1</v>
      </c>
      <c r="G38"/>
      <c r="H38"/>
    </row>
    <row r="39" spans="1:8" s="8" customFormat="1">
      <c r="B39" s="41" t="str">
        <f>MLIST!D39</f>
        <v>Desktop - New</v>
      </c>
      <c r="C39" s="7">
        <v>1</v>
      </c>
      <c r="D39" s="7">
        <v>1</v>
      </c>
      <c r="E39" s="7">
        <v>1</v>
      </c>
      <c r="F39" s="7">
        <v>1</v>
      </c>
      <c r="G39"/>
      <c r="H39"/>
    </row>
    <row r="40" spans="1:8" s="8" customFormat="1">
      <c r="B40" s="41" t="str">
        <f>MLIST!D40</f>
        <v>Desktop - NR</v>
      </c>
      <c r="C40" s="7">
        <v>1</v>
      </c>
      <c r="D40" s="7">
        <v>1</v>
      </c>
      <c r="E40" s="7">
        <v>1</v>
      </c>
      <c r="F40" s="7">
        <v>1</v>
      </c>
      <c r="G40"/>
      <c r="H40"/>
    </row>
    <row r="41" spans="1:8" s="8" customFormat="1">
      <c r="B41" s="41" t="str">
        <f>MLIST!D41</f>
        <v>Laptop - New</v>
      </c>
      <c r="C41" s="7">
        <v>1</v>
      </c>
      <c r="D41" s="7">
        <v>1</v>
      </c>
      <c r="E41" s="7">
        <v>1</v>
      </c>
      <c r="F41" s="7">
        <v>1</v>
      </c>
      <c r="G41"/>
      <c r="H41"/>
    </row>
    <row r="42" spans="1:8" s="8" customFormat="1">
      <c r="B42" s="41" t="str">
        <f>MLIST!D42</f>
        <v>Laptop - NR</v>
      </c>
      <c r="C42" s="7">
        <v>1</v>
      </c>
      <c r="D42" s="7">
        <v>1</v>
      </c>
      <c r="E42" s="7">
        <v>1</v>
      </c>
      <c r="F42" s="7">
        <v>1</v>
      </c>
      <c r="G42"/>
      <c r="H42"/>
    </row>
    <row r="43" spans="1:8" s="8" customFormat="1">
      <c r="B43" s="41" t="str">
        <f>MLIST!D43</f>
        <v>Computer - New</v>
      </c>
      <c r="C43" s="7"/>
      <c r="D43" s="7"/>
      <c r="E43" s="7"/>
      <c r="F43" s="7"/>
      <c r="G43"/>
      <c r="H43"/>
    </row>
    <row r="44" spans="1:8" s="8" customFormat="1">
      <c r="B44" s="41" t="str">
        <f>MLIST!D44</f>
        <v>Computer - NR</v>
      </c>
      <c r="C44" s="7"/>
      <c r="D44" s="7"/>
      <c r="E44" s="7"/>
      <c r="F44" s="7"/>
      <c r="G44"/>
      <c r="H44"/>
    </row>
    <row r="45" spans="1:8" s="8" customFormat="1">
      <c r="B45" s="41" t="str">
        <f>MLIST!D45</f>
        <v>ASHP - New</v>
      </c>
      <c r="C45" s="7">
        <v>0.9</v>
      </c>
      <c r="D45" s="100">
        <v>0.5</v>
      </c>
      <c r="E45" s="100">
        <v>0</v>
      </c>
      <c r="F45" s="100">
        <v>0.9</v>
      </c>
      <c r="G45"/>
      <c r="H45"/>
    </row>
    <row r="46" spans="1:8" s="8" customFormat="1">
      <c r="B46" s="41" t="str">
        <f>MLIST!D46</f>
        <v>ASHP - NR</v>
      </c>
      <c r="C46" s="7">
        <v>0.75</v>
      </c>
      <c r="D46" s="100">
        <v>0.5</v>
      </c>
      <c r="E46" s="100">
        <v>0</v>
      </c>
      <c r="F46" s="100">
        <v>0.25</v>
      </c>
      <c r="G46" t="s">
        <v>492</v>
      </c>
      <c r="H46"/>
    </row>
    <row r="47" spans="1:8" s="8" customFormat="1">
      <c r="B47" s="41" t="str">
        <f>MLIST!D47</f>
        <v>HP - Retro</v>
      </c>
      <c r="C47" s="7"/>
      <c r="D47" s="7"/>
      <c r="E47" s="7"/>
      <c r="F47" s="7"/>
      <c r="G47"/>
      <c r="H47"/>
    </row>
    <row r="48" spans="1:8" s="8" customFormat="1">
      <c r="B48" s="41" t="str">
        <f>MLIST!D48</f>
        <v>DHP - New</v>
      </c>
      <c r="C48" s="7">
        <v>0.99</v>
      </c>
      <c r="D48" s="100">
        <v>0.99</v>
      </c>
      <c r="E48" s="100">
        <v>0</v>
      </c>
      <c r="F48" s="100">
        <v>0.99</v>
      </c>
      <c r="G48"/>
      <c r="H48"/>
    </row>
    <row r="49" spans="2:8" s="8" customFormat="1">
      <c r="B49" s="41" t="str">
        <f>MLIST!D49</f>
        <v>DHP - NR</v>
      </c>
      <c r="C49" s="7">
        <v>0.99</v>
      </c>
      <c r="D49" s="100">
        <v>0.99</v>
      </c>
      <c r="E49" s="100">
        <v>0</v>
      </c>
      <c r="F49" s="100">
        <v>0.99</v>
      </c>
      <c r="G49" t="s">
        <v>463</v>
      </c>
      <c r="H49"/>
    </row>
    <row r="50" spans="2:8" s="8" customFormat="1">
      <c r="B50" s="41" t="str">
        <f>MLIST!D50</f>
        <v>DHP - Retro</v>
      </c>
      <c r="C50" s="7"/>
      <c r="D50" s="7"/>
      <c r="E50" s="7"/>
      <c r="F50" s="7"/>
      <c r="G50"/>
      <c r="H50"/>
    </row>
    <row r="51" spans="2:8" s="8" customFormat="1">
      <c r="B51" s="41" t="str">
        <f>MLIST!D51</f>
        <v>Duct Sealing - New</v>
      </c>
      <c r="C51" s="100">
        <v>1</v>
      </c>
      <c r="D51" s="7"/>
      <c r="E51" s="7"/>
      <c r="F51" s="100">
        <v>1</v>
      </c>
      <c r="G51"/>
      <c r="H51"/>
    </row>
    <row r="52" spans="2:8" s="8" customFormat="1">
      <c r="B52" s="41" t="str">
        <f>MLIST!D52</f>
        <v>Duct Sealing - Retro</v>
      </c>
      <c r="C52" s="100">
        <v>0.95</v>
      </c>
      <c r="D52" s="7"/>
      <c r="E52" s="7"/>
      <c r="F52" s="100">
        <v>0.95</v>
      </c>
      <c r="G52" t="s">
        <v>567</v>
      </c>
      <c r="H52"/>
    </row>
    <row r="53" spans="2:8" s="8" customFormat="1">
      <c r="B53" s="41" t="str">
        <f>MLIST!D53</f>
        <v>WIFI enabled tstats - New</v>
      </c>
      <c r="C53" s="7">
        <v>0.2</v>
      </c>
      <c r="D53" s="7">
        <v>0.2</v>
      </c>
      <c r="E53" s="7">
        <v>0</v>
      </c>
      <c r="F53" s="7">
        <v>0.2</v>
      </c>
      <c r="G53" t="s">
        <v>564</v>
      </c>
      <c r="H53"/>
    </row>
    <row r="54" spans="2:8" s="8" customFormat="1">
      <c r="B54" s="41" t="str">
        <f>MLIST!D54</f>
        <v>WIFI enabled tstats - Retro</v>
      </c>
      <c r="C54" s="7">
        <v>0.2</v>
      </c>
      <c r="D54" s="7">
        <v>0.2</v>
      </c>
      <c r="E54" s="7">
        <v>0</v>
      </c>
      <c r="F54" s="7">
        <v>0.2</v>
      </c>
      <c r="G54" t="s">
        <v>564</v>
      </c>
      <c r="H54"/>
    </row>
    <row r="55" spans="2:8">
      <c r="B55" s="41" t="str">
        <f>MLIST!D55</f>
        <v>Combo DHP/HPWH units - New</v>
      </c>
      <c r="C55" s="7"/>
      <c r="D55" s="7"/>
      <c r="E55" s="7"/>
      <c r="F55" s="7"/>
    </row>
    <row r="56" spans="2:8">
      <c r="B56" s="41" t="str">
        <f>MLIST!D56</f>
        <v>Combo DHP/HPWH units - NR</v>
      </c>
      <c r="C56" s="7"/>
      <c r="D56" s="7"/>
      <c r="E56" s="7"/>
      <c r="F56" s="7"/>
    </row>
    <row r="57" spans="2:8">
      <c r="B57" s="41" t="str">
        <f>MLIST!D57</f>
        <v>Combo DHP/HPWH units - Retro</v>
      </c>
      <c r="C57" s="7"/>
      <c r="D57" s="7"/>
      <c r="E57" s="7"/>
      <c r="F57" s="7"/>
    </row>
    <row r="58" spans="2:8">
      <c r="B58" s="41" t="str">
        <f>MLIST!D58</f>
        <v>Aerator - New</v>
      </c>
      <c r="C58" s="7">
        <v>0.9</v>
      </c>
      <c r="D58" s="7">
        <v>0.9</v>
      </c>
      <c r="E58" s="7">
        <v>0.9</v>
      </c>
      <c r="F58" s="7">
        <v>0.9</v>
      </c>
      <c r="G58" t="s">
        <v>406</v>
      </c>
    </row>
    <row r="59" spans="2:8">
      <c r="B59" s="41" t="str">
        <f>MLIST!D59</f>
        <v>Aerator - Retro</v>
      </c>
      <c r="C59" s="7">
        <v>0.9</v>
      </c>
      <c r="D59" s="7">
        <v>0.9</v>
      </c>
      <c r="E59" s="7">
        <v>0.9</v>
      </c>
      <c r="F59" s="7">
        <v>0.9</v>
      </c>
      <c r="G59" t="s">
        <v>406</v>
      </c>
    </row>
    <row r="60" spans="2:8">
      <c r="B60" s="41" t="str">
        <f>MLIST!D60</f>
        <v>Behavior - Retro</v>
      </c>
      <c r="C60" s="7">
        <f>70%*70%</f>
        <v>0.48999999999999994</v>
      </c>
      <c r="D60" s="7">
        <f t="shared" ref="D60:F61" si="1">70%*70%</f>
        <v>0.48999999999999994</v>
      </c>
      <c r="E60" s="7">
        <f t="shared" si="1"/>
        <v>0.48999999999999994</v>
      </c>
      <c r="F60" s="7">
        <f t="shared" si="1"/>
        <v>0.48999999999999994</v>
      </c>
      <c r="G60" t="s">
        <v>556</v>
      </c>
    </row>
    <row r="61" spans="2:8">
      <c r="B61" s="41" t="str">
        <f>MLIST!D61</f>
        <v>Behavior - New</v>
      </c>
      <c r="C61" s="7">
        <f t="shared" ref="C61" si="2">70%*70%</f>
        <v>0.48999999999999994</v>
      </c>
      <c r="D61" s="7">
        <f t="shared" si="1"/>
        <v>0.48999999999999994</v>
      </c>
      <c r="E61" s="7">
        <f t="shared" si="1"/>
        <v>0.48999999999999994</v>
      </c>
      <c r="F61" s="7">
        <f t="shared" si="1"/>
        <v>0.48999999999999994</v>
      </c>
      <c r="G61" t="s">
        <v>556</v>
      </c>
    </row>
    <row r="62" spans="2:8">
      <c r="B62" s="41">
        <f>MLIST!D62</f>
        <v>0</v>
      </c>
    </row>
    <row r="63" spans="2:8">
      <c r="B63" s="41" t="str">
        <f>MLIST!D63</f>
        <v>Heat Recovery Ventilation - New</v>
      </c>
      <c r="C63" s="104">
        <v>0.9</v>
      </c>
    </row>
    <row r="64" spans="2:8">
      <c r="B64" s="41" t="str">
        <f>MLIST!D64</f>
        <v>GSHP - New</v>
      </c>
      <c r="C64" s="31">
        <f>[22]Weighting!$C$9</f>
        <v>0.12485156673907999</v>
      </c>
      <c r="G64" t="s">
        <v>539</v>
      </c>
    </row>
    <row r="65" spans="2:8">
      <c r="B65" s="41" t="str">
        <f>MLIST!D65</f>
        <v>GSHP - NR</v>
      </c>
      <c r="C65" s="31">
        <f>[22]Weighting!$C$9</f>
        <v>0.12485156673907999</v>
      </c>
      <c r="G65" t="s">
        <v>539</v>
      </c>
    </row>
    <row r="66" spans="2:8">
      <c r="B66" s="41">
        <f>MLIST!D66</f>
        <v>0</v>
      </c>
    </row>
    <row r="67" spans="2:8">
      <c r="B67" s="41" t="str">
        <f>MLIST!D67</f>
        <v>ECM for HVAC ventilation - New</v>
      </c>
    </row>
    <row r="68" spans="2:8">
      <c r="B68" s="41" t="str">
        <f>MLIST!D68</f>
        <v>ECM for HVAC ventilation - NR</v>
      </c>
      <c r="C68" s="7"/>
      <c r="D68" s="7"/>
      <c r="E68" s="7"/>
      <c r="F68" s="7"/>
    </row>
    <row r="69" spans="2:8">
      <c r="B69" s="41" t="str">
        <f>MLIST!D69</f>
        <v>Whole house/attic fan - New</v>
      </c>
    </row>
    <row r="70" spans="2:8">
      <c r="B70" s="41" t="str">
        <f>MLIST!D70</f>
        <v>Whole house/attic fan - Retro</v>
      </c>
    </row>
    <row r="71" spans="2:8">
      <c r="B71" s="41" t="str">
        <f>MLIST!D71</f>
        <v>WH Pipe insulation - Retro</v>
      </c>
    </row>
    <row r="72" spans="2:8">
      <c r="B72" s="41" t="str">
        <f>MLIST!D72</f>
        <v>DHP Ducted - NR</v>
      </c>
      <c r="C72" s="104">
        <v>0.25</v>
      </c>
      <c r="D72" s="107">
        <v>0</v>
      </c>
      <c r="E72" s="107">
        <v>0</v>
      </c>
      <c r="F72" s="104">
        <v>0.75</v>
      </c>
      <c r="G72" t="s">
        <v>473</v>
      </c>
    </row>
    <row r="73" spans="2:8">
      <c r="B73" s="41" t="str">
        <f>MLIST!D73</f>
        <v>Advanced Power Strips - New</v>
      </c>
      <c r="C73" s="7">
        <v>0.34</v>
      </c>
      <c r="D73" s="7">
        <v>0.25</v>
      </c>
      <c r="E73" s="7">
        <v>0.25</v>
      </c>
      <c r="F73" s="7">
        <v>0.25</v>
      </c>
      <c r="G73" t="s">
        <v>443</v>
      </c>
      <c r="H73" t="s">
        <v>444</v>
      </c>
    </row>
    <row r="74" spans="2:8">
      <c r="B74" s="41" t="str">
        <f>MLIST!D74</f>
        <v>Advanced Power Strips - Retro</v>
      </c>
      <c r="C74" s="7">
        <v>0.34</v>
      </c>
      <c r="D74" s="7">
        <v>0.25</v>
      </c>
      <c r="E74" s="7">
        <v>0.25</v>
      </c>
      <c r="F74" s="7">
        <v>0.25</v>
      </c>
      <c r="G74" t="s">
        <v>443</v>
      </c>
      <c r="H74" t="s">
        <v>444</v>
      </c>
    </row>
    <row r="75" spans="2:8">
      <c r="B75" s="41" t="str">
        <f>MLIST!D75</f>
        <v>Controls Commissioning and Sizing - New</v>
      </c>
      <c r="C75" s="7">
        <v>0.8</v>
      </c>
      <c r="D75" s="7"/>
      <c r="E75" s="7"/>
      <c r="F75" s="7">
        <v>0.8</v>
      </c>
      <c r="H75" t="s">
        <v>563</v>
      </c>
    </row>
    <row r="76" spans="2:8">
      <c r="B76" s="41" t="str">
        <f>MLIST!D76</f>
        <v>Controls Commissioning and Sizing - NR</v>
      </c>
      <c r="C76" s="7">
        <v>0.8</v>
      </c>
      <c r="D76" s="7"/>
      <c r="E76" s="7"/>
      <c r="F76" s="7">
        <v>0.8</v>
      </c>
      <c r="H76" t="s">
        <v>563</v>
      </c>
    </row>
    <row r="77" spans="2:8">
      <c r="B77" s="41" t="str">
        <f>MLIST!D77</f>
        <v>ResWx - Retro</v>
      </c>
      <c r="C77" s="7">
        <v>1</v>
      </c>
      <c r="D77" s="7">
        <v>1</v>
      </c>
      <c r="E77" s="7">
        <v>0</v>
      </c>
      <c r="F77" s="7">
        <v>1</v>
      </c>
    </row>
    <row r="78" spans="2:8">
      <c r="B78" s="41" t="str">
        <f>MLIST!D78</f>
        <v>ATTIC R0 - R19 - Retro</v>
      </c>
      <c r="C78" s="7"/>
      <c r="D78" s="7">
        <f>[27]Attic!$O$13</f>
        <v>5.4136342171710254E-2</v>
      </c>
      <c r="E78" s="7">
        <v>0</v>
      </c>
      <c r="F78" s="7"/>
      <c r="H78" t="s">
        <v>470</v>
      </c>
    </row>
    <row r="79" spans="2:8">
      <c r="B79" s="41" t="str">
        <f>MLIST!D79</f>
        <v>ATTIC R0 - R22 - Retro</v>
      </c>
      <c r="C79" s="7"/>
      <c r="D79" s="7"/>
      <c r="E79" s="7">
        <v>0</v>
      </c>
      <c r="F79" s="7">
        <v>1</v>
      </c>
      <c r="H79" t="s">
        <v>470</v>
      </c>
    </row>
    <row r="80" spans="2:8">
      <c r="B80" s="41" t="str">
        <f>MLIST!D80</f>
        <v>ATTIC R0 - R30 - Retro</v>
      </c>
      <c r="C80" s="7"/>
      <c r="D80" s="7"/>
      <c r="E80" s="7">
        <v>0</v>
      </c>
      <c r="F80" s="7">
        <v>1</v>
      </c>
      <c r="H80" t="s">
        <v>470</v>
      </c>
    </row>
    <row r="81" spans="2:8">
      <c r="B81" s="41" t="str">
        <f>MLIST!D81</f>
        <v>ATTIC R0 - R38 - Retro</v>
      </c>
      <c r="C81" s="7">
        <f>[26]Attic!$O$13</f>
        <v>0.32014844015471466</v>
      </c>
      <c r="D81" s="7">
        <f>[27]Attic!$P$13</f>
        <v>4.7584775838642859E-2</v>
      </c>
      <c r="E81" s="7">
        <v>0</v>
      </c>
      <c r="F81" s="7"/>
      <c r="G81" t="s">
        <v>282</v>
      </c>
      <c r="H81" t="s">
        <v>470</v>
      </c>
    </row>
    <row r="82" spans="2:8">
      <c r="B82" s="41" t="str">
        <f>MLIST!D82</f>
        <v>ATTIC R0 - R49 - Retro</v>
      </c>
      <c r="C82" s="7">
        <f>[26]Attic!$P$13</f>
        <v>0.17058205505053403</v>
      </c>
      <c r="D82" s="7">
        <f>[27]Attic!$Q$13</f>
        <v>0.28384144507905706</v>
      </c>
      <c r="E82" s="7">
        <v>0</v>
      </c>
      <c r="F82" s="7"/>
      <c r="G82" t="s">
        <v>282</v>
      </c>
      <c r="H82" t="s">
        <v>470</v>
      </c>
    </row>
    <row r="83" spans="2:8">
      <c r="B83" s="41" t="str">
        <f>MLIST!D83</f>
        <v>ATTIC R11 - R30 - Retro</v>
      </c>
      <c r="C83" s="7"/>
      <c r="D83" s="7"/>
      <c r="E83" s="7">
        <v>0</v>
      </c>
      <c r="F83" s="7">
        <v>1</v>
      </c>
      <c r="G83" t="s">
        <v>282</v>
      </c>
      <c r="H83" t="s">
        <v>470</v>
      </c>
    </row>
    <row r="84" spans="2:8">
      <c r="B84" s="41" t="str">
        <f>MLIST!D84</f>
        <v>ATTIC R11 - R38 - Retro</v>
      </c>
      <c r="C84" s="7">
        <f>[26]Attic!$O$14</f>
        <v>0.17430969903565588</v>
      </c>
      <c r="D84" s="7"/>
      <c r="E84" s="7">
        <v>0</v>
      </c>
      <c r="F84" s="7"/>
      <c r="G84" t="s">
        <v>282</v>
      </c>
      <c r="H84" t="s">
        <v>470</v>
      </c>
    </row>
    <row r="85" spans="2:8">
      <c r="B85" s="41" t="str">
        <f>MLIST!D85</f>
        <v>ATTIC R11 - R49 - Retro</v>
      </c>
      <c r="C85" s="7">
        <f>[26]Attic!$P$14</f>
        <v>0.13678890043469027</v>
      </c>
      <c r="D85" s="7"/>
      <c r="E85" s="7">
        <v>0</v>
      </c>
      <c r="F85" s="7"/>
      <c r="G85" t="s">
        <v>282</v>
      </c>
      <c r="H85" t="s">
        <v>470</v>
      </c>
    </row>
    <row r="86" spans="2:8">
      <c r="B86" s="41" t="str">
        <f>MLIST!D86</f>
        <v>ATTIC R19 - R30 - Retro</v>
      </c>
      <c r="C86" s="7"/>
      <c r="D86" s="7">
        <f>[27]Attic!$O$15</f>
        <v>0.22227051198635747</v>
      </c>
      <c r="E86" s="7">
        <v>0</v>
      </c>
      <c r="F86" s="7"/>
      <c r="H86" t="s">
        <v>470</v>
      </c>
    </row>
    <row r="87" spans="2:8">
      <c r="B87" s="41" t="str">
        <f>MLIST!D87</f>
        <v>ATTIC R19 - R38 - Retro</v>
      </c>
      <c r="C87" s="7">
        <f>[26]Attic!$O$15</f>
        <v>4.6501964215835925E-2</v>
      </c>
      <c r="D87" s="7">
        <f>[27]Attic!$P$15</f>
        <v>3.4310978703902796E-2</v>
      </c>
      <c r="E87" s="7">
        <v>0</v>
      </c>
      <c r="F87" s="7"/>
      <c r="G87" t="s">
        <v>282</v>
      </c>
      <c r="H87" t="s">
        <v>470</v>
      </c>
    </row>
    <row r="88" spans="2:8">
      <c r="B88" s="41" t="str">
        <f>MLIST!D88</f>
        <v>ATTIC R19 - R49 - Retro</v>
      </c>
      <c r="C88" s="7">
        <f>[26]Attic!$P$15</f>
        <v>0.1001242132993031</v>
      </c>
      <c r="D88" s="7">
        <f>[27]Attic!$Q$15</f>
        <v>0.50397933760908686</v>
      </c>
      <c r="E88" s="7">
        <v>0</v>
      </c>
      <c r="F88" s="7"/>
      <c r="G88" t="s">
        <v>282</v>
      </c>
      <c r="H88" t="s">
        <v>470</v>
      </c>
    </row>
    <row r="89" spans="2:8">
      <c r="B89" s="41" t="str">
        <f>MLIST!D89</f>
        <v>WALL R0 - R11 - Retro</v>
      </c>
      <c r="C89" s="7">
        <v>1</v>
      </c>
      <c r="D89" s="7">
        <v>1</v>
      </c>
      <c r="E89" s="7">
        <v>0</v>
      </c>
      <c r="F89" s="7"/>
      <c r="G89" t="s">
        <v>282</v>
      </c>
      <c r="H89" t="s">
        <v>470</v>
      </c>
    </row>
    <row r="90" spans="2:8">
      <c r="B90" s="41" t="str">
        <f>MLIST!D90</f>
        <v>FLOOR R0 - R19 - Retro</v>
      </c>
      <c r="C90" s="7">
        <f>[26]FlCrawl!$AP$15</f>
        <v>0.34333690117039206</v>
      </c>
      <c r="D90" s="7">
        <f>[27]FlCrawl!$AJ$14</f>
        <v>8.2838470698342936E-2</v>
      </c>
      <c r="E90" s="7">
        <v>0</v>
      </c>
      <c r="F90" s="7"/>
      <c r="G90" t="s">
        <v>282</v>
      </c>
      <c r="H90" t="s">
        <v>470</v>
      </c>
    </row>
    <row r="91" spans="2:8">
      <c r="B91" s="41" t="str">
        <f>MLIST!D91</f>
        <v>FLOOR R0 - R22 - Retro</v>
      </c>
      <c r="C91" s="7"/>
      <c r="D91" s="7"/>
      <c r="E91" s="7">
        <v>0</v>
      </c>
      <c r="F91" s="7">
        <v>1</v>
      </c>
      <c r="H91" t="s">
        <v>470</v>
      </c>
    </row>
    <row r="92" spans="2:8">
      <c r="B92" s="41" t="str">
        <f>MLIST!D92</f>
        <v>FLOOR R0 - R25 - Retro</v>
      </c>
      <c r="C92" s="7">
        <f>[26]FlCrawl!$AN$15</f>
        <v>0.19851645323572223</v>
      </c>
      <c r="D92" s="7"/>
      <c r="E92" s="7">
        <v>0</v>
      </c>
      <c r="F92" s="7"/>
      <c r="G92" t="s">
        <v>282</v>
      </c>
      <c r="H92" t="s">
        <v>470</v>
      </c>
    </row>
    <row r="93" spans="2:8">
      <c r="B93" s="41" t="str">
        <f>MLIST!D93</f>
        <v>FLOOR R0 - R30 - Retro</v>
      </c>
      <c r="C93" s="7">
        <f>[26]FlCrawl!$AO$15</f>
        <v>0.45814664559388574</v>
      </c>
      <c r="D93" s="7">
        <f>[27]FlCrawl!$AK$14</f>
        <v>0.91716152930165706</v>
      </c>
      <c r="E93" s="7">
        <v>0</v>
      </c>
      <c r="F93" s="7"/>
      <c r="G93" t="s">
        <v>282</v>
      </c>
      <c r="H93" t="s">
        <v>470</v>
      </c>
    </row>
    <row r="94" spans="2:8">
      <c r="B94" s="41" t="str">
        <f>MLIST!D94</f>
        <v>FLOOR R11 - R22 - Retro</v>
      </c>
      <c r="C94" s="7"/>
      <c r="D94" s="7"/>
      <c r="E94" s="7">
        <v>0</v>
      </c>
      <c r="F94" s="7">
        <v>1</v>
      </c>
      <c r="H94" t="s">
        <v>470</v>
      </c>
    </row>
    <row r="95" spans="2:8">
      <c r="B95" s="41" t="str">
        <f>MLIST!D95</f>
        <v>WINDOW CL30 Prime Window Replacement of Single Pane Base - Retro</v>
      </c>
      <c r="C95" s="7">
        <v>0.8</v>
      </c>
      <c r="D95" s="7">
        <f>80%</f>
        <v>0.8</v>
      </c>
      <c r="E95" s="7">
        <v>0</v>
      </c>
      <c r="F95" s="7">
        <v>0.8</v>
      </c>
      <c r="G95" t="s">
        <v>446</v>
      </c>
    </row>
    <row r="96" spans="2:8">
      <c r="B96" s="41" t="str">
        <f>MLIST!D96</f>
        <v>WINDOW CL30 Prime Window Replacement of Double Pane Base - Retro</v>
      </c>
      <c r="C96" s="7">
        <v>0.8</v>
      </c>
      <c r="D96" s="7">
        <f>80%</f>
        <v>0.8</v>
      </c>
      <c r="E96" s="7">
        <v>0</v>
      </c>
      <c r="F96" s="7">
        <v>0.8</v>
      </c>
      <c r="G96" t="s">
        <v>447</v>
      </c>
    </row>
    <row r="97" spans="2:8">
      <c r="B97" s="41" t="str">
        <f>MLIST!D97</f>
        <v>WINDOW CL22 Prime Window Replacement of Single Pane Base - Retro</v>
      </c>
      <c r="C97" s="7">
        <v>0.2</v>
      </c>
      <c r="D97" s="7">
        <f>20%</f>
        <v>0.2</v>
      </c>
      <c r="E97" s="7">
        <v>0</v>
      </c>
      <c r="F97" s="7">
        <v>0.2</v>
      </c>
      <c r="G97" t="s">
        <v>448</v>
      </c>
    </row>
    <row r="98" spans="2:8">
      <c r="B98" s="41" t="str">
        <f>MLIST!D98</f>
        <v>WINDOW CL22 Prime Window Replacement of Double Pane Base - Retro</v>
      </c>
      <c r="C98" s="7">
        <v>0.2</v>
      </c>
      <c r="D98" s="7">
        <f>20%</f>
        <v>0.2</v>
      </c>
      <c r="E98" s="7">
        <v>0</v>
      </c>
      <c r="F98" s="7">
        <v>0.2</v>
      </c>
      <c r="G98" t="s">
        <v>449</v>
      </c>
    </row>
    <row r="99" spans="2:8">
      <c r="B99" s="41" t="str">
        <f>MLIST!D99</f>
        <v>CFM50 Infiltration Reduction - Retro</v>
      </c>
      <c r="C99" s="7">
        <v>0.5</v>
      </c>
      <c r="D99" s="7">
        <v>0.5</v>
      </c>
      <c r="E99" s="7">
        <v>0</v>
      </c>
      <c r="F99" s="7">
        <v>1</v>
      </c>
      <c r="G99" t="s">
        <v>450</v>
      </c>
      <c r="H99" t="s">
        <v>470</v>
      </c>
    </row>
    <row r="100" spans="2:8">
      <c r="B100" s="41"/>
    </row>
    <row r="101" spans="2:8">
      <c r="B101" s="41"/>
    </row>
    <row r="102" spans="2:8">
      <c r="B102" s="41"/>
    </row>
    <row r="103" spans="2:8">
      <c r="B103" s="41"/>
    </row>
    <row r="104" spans="2:8">
      <c r="B104" s="41"/>
    </row>
    <row r="105" spans="2:8">
      <c r="B105" s="41"/>
    </row>
    <row r="106" spans="2:8">
      <c r="B106" s="41"/>
    </row>
    <row r="107" spans="2:8">
      <c r="B107" s="41"/>
    </row>
    <row r="108" spans="2:8">
      <c r="B108" s="41"/>
    </row>
    <row r="109" spans="2:8">
      <c r="B109" s="41"/>
    </row>
    <row r="110" spans="2:8">
      <c r="B110" s="41"/>
    </row>
    <row r="111" spans="2:8">
      <c r="B111" s="41"/>
    </row>
    <row r="112" spans="2:8">
      <c r="B112" s="41"/>
    </row>
    <row r="113" spans="2:6">
      <c r="B113" s="41"/>
    </row>
    <row r="114" spans="2:6">
      <c r="B114" s="41"/>
    </row>
    <row r="115" spans="2:6">
      <c r="B115" s="41"/>
    </row>
    <row r="116" spans="2:6">
      <c r="B116" s="41"/>
    </row>
    <row r="117" spans="2:6">
      <c r="B117" s="41"/>
    </row>
    <row r="118" spans="2:6">
      <c r="B118" s="41"/>
    </row>
    <row r="119" spans="2:6">
      <c r="B119" s="41"/>
    </row>
    <row r="120" spans="2:6">
      <c r="B120" s="41"/>
      <c r="C120" s="1"/>
      <c r="D120" s="1"/>
      <c r="E120" s="1"/>
      <c r="F120" s="1"/>
    </row>
    <row r="121" spans="2:6">
      <c r="B121" s="41"/>
      <c r="C121" s="1"/>
      <c r="D121" s="1"/>
      <c r="E121" s="1"/>
      <c r="F121" s="1"/>
    </row>
    <row r="122" spans="2:6">
      <c r="B122" s="41"/>
      <c r="C122" s="1"/>
      <c r="D122" s="1"/>
      <c r="E122" s="1"/>
      <c r="F122" s="1"/>
    </row>
    <row r="123" spans="2:6">
      <c r="B123" s="41"/>
      <c r="C123" s="1"/>
      <c r="D123" s="1"/>
      <c r="E123" s="1"/>
      <c r="F123" s="1"/>
    </row>
    <row r="124" spans="2:6">
      <c r="B124" s="41"/>
      <c r="C124" s="1"/>
      <c r="D124" s="1"/>
      <c r="E124" s="1"/>
      <c r="F124" s="1"/>
    </row>
    <row r="125" spans="2:6">
      <c r="B125" s="41"/>
      <c r="C125" s="1"/>
      <c r="D125" s="1"/>
      <c r="E125" s="1"/>
      <c r="F125" s="1"/>
    </row>
    <row r="126" spans="2:6">
      <c r="B126" s="41"/>
      <c r="C126" s="1"/>
      <c r="D126" s="1"/>
      <c r="E126" s="1"/>
      <c r="F126" s="1"/>
    </row>
    <row r="127" spans="2:6">
      <c r="B127" s="41"/>
      <c r="C127" s="1"/>
      <c r="D127" s="1"/>
      <c r="E127" s="1"/>
      <c r="F127" s="1"/>
    </row>
    <row r="128" spans="2:6">
      <c r="B128" s="41"/>
      <c r="C128" s="1"/>
      <c r="D128" s="1"/>
      <c r="E128" s="1"/>
      <c r="F128" s="1"/>
    </row>
    <row r="129" spans="2:6">
      <c r="B129" s="41"/>
      <c r="C129" s="1"/>
      <c r="D129" s="1"/>
      <c r="E129" s="1"/>
      <c r="F129" s="1"/>
    </row>
    <row r="130" spans="2:6">
      <c r="B130" s="41"/>
      <c r="C130" s="1"/>
      <c r="D130" s="1"/>
      <c r="E130" s="1"/>
      <c r="F130" s="1"/>
    </row>
    <row r="131" spans="2:6">
      <c r="B131" s="41"/>
      <c r="C131" s="1"/>
      <c r="D131" s="1"/>
      <c r="E131" s="1"/>
      <c r="F131" s="1"/>
    </row>
    <row r="132" spans="2:6">
      <c r="B132" s="41"/>
      <c r="C132" s="1"/>
      <c r="D132" s="1"/>
      <c r="E132" s="1"/>
      <c r="F132" s="1"/>
    </row>
    <row r="133" spans="2:6">
      <c r="B133" s="41"/>
      <c r="C133" s="1"/>
      <c r="D133" s="1"/>
      <c r="E133" s="1"/>
      <c r="F133" s="1"/>
    </row>
    <row r="134" spans="2:6">
      <c r="B134" s="41"/>
      <c r="C134" s="1"/>
      <c r="D134" s="1"/>
      <c r="E134" s="1"/>
      <c r="F134" s="1"/>
    </row>
    <row r="135" spans="2:6">
      <c r="B135" s="41"/>
      <c r="C135" s="1"/>
      <c r="D135" s="1"/>
      <c r="E135" s="1"/>
      <c r="F135" s="1"/>
    </row>
    <row r="136" spans="2:6">
      <c r="B136" s="41"/>
      <c r="C136" s="1"/>
      <c r="D136" s="1"/>
      <c r="E136" s="1"/>
      <c r="F136" s="1"/>
    </row>
    <row r="137" spans="2:6">
      <c r="B137" s="41"/>
      <c r="C137" s="1"/>
      <c r="D137" s="1"/>
      <c r="E137" s="1"/>
      <c r="F137" s="1"/>
    </row>
    <row r="138" spans="2:6">
      <c r="B138" s="41"/>
      <c r="C138" s="1"/>
      <c r="D138" s="1"/>
      <c r="E138" s="1"/>
      <c r="F138" s="1"/>
    </row>
    <row r="139" spans="2:6">
      <c r="B139" s="41"/>
      <c r="C139" s="1"/>
      <c r="D139" s="1"/>
      <c r="E139" s="1"/>
      <c r="F139" s="1"/>
    </row>
    <row r="140" spans="2:6">
      <c r="B140" s="41"/>
      <c r="C140" s="1"/>
      <c r="D140" s="1"/>
      <c r="E140" s="1"/>
      <c r="F140" s="1"/>
    </row>
    <row r="141" spans="2:6">
      <c r="B141" s="41"/>
      <c r="C141" s="1"/>
      <c r="D141" s="1"/>
      <c r="E141" s="1"/>
      <c r="F141" s="1"/>
    </row>
    <row r="142" spans="2:6">
      <c r="B142" s="41"/>
      <c r="C142" s="1"/>
      <c r="D142" s="1"/>
      <c r="E142" s="1"/>
      <c r="F142" s="1"/>
    </row>
    <row r="143" spans="2:6">
      <c r="B143" s="41"/>
      <c r="C143" s="1"/>
      <c r="D143" s="1"/>
      <c r="E143" s="1"/>
      <c r="F143" s="1"/>
    </row>
    <row r="144" spans="2:6">
      <c r="B144" s="41"/>
      <c r="C144" s="1"/>
      <c r="D144" s="1"/>
      <c r="E144" s="1"/>
      <c r="F144" s="1"/>
    </row>
    <row r="145" spans="2:6">
      <c r="B145" s="41"/>
      <c r="C145" s="1"/>
      <c r="D145" s="1"/>
      <c r="E145" s="1"/>
      <c r="F145" s="1"/>
    </row>
    <row r="146" spans="2:6">
      <c r="B146" s="41"/>
      <c r="C146" s="1"/>
      <c r="D146" s="1"/>
      <c r="E146" s="1"/>
      <c r="F146" s="1"/>
    </row>
    <row r="147" spans="2:6">
      <c r="B147" s="41"/>
      <c r="C147" s="1"/>
      <c r="D147" s="1"/>
      <c r="E147" s="1"/>
      <c r="F147" s="1"/>
    </row>
    <row r="148" spans="2:6">
      <c r="B148" s="41"/>
      <c r="C148" s="1"/>
      <c r="D148" s="1"/>
      <c r="E148" s="1"/>
      <c r="F148" s="1"/>
    </row>
    <row r="149" spans="2:6">
      <c r="B149" s="41"/>
      <c r="C149" s="1"/>
      <c r="D149" s="1"/>
      <c r="E149" s="1"/>
      <c r="F149" s="1"/>
    </row>
    <row r="150" spans="2:6">
      <c r="B150" s="41"/>
      <c r="C150" s="1"/>
      <c r="D150" s="1"/>
      <c r="E150" s="1"/>
      <c r="F150" s="1"/>
    </row>
    <row r="151" spans="2:6">
      <c r="B151" s="41"/>
      <c r="C151" s="1"/>
      <c r="D151" s="1"/>
      <c r="E151" s="1"/>
      <c r="F151" s="1"/>
    </row>
    <row r="152" spans="2:6">
      <c r="B152" s="41"/>
      <c r="C152" s="1"/>
      <c r="D152" s="1"/>
      <c r="E152" s="1"/>
      <c r="F152" s="1"/>
    </row>
    <row r="153" spans="2:6">
      <c r="B153" s="41"/>
      <c r="C153" s="1"/>
      <c r="D153" s="1"/>
      <c r="E153" s="1"/>
      <c r="F153" s="1"/>
    </row>
    <row r="154" spans="2:6">
      <c r="B154" s="41"/>
      <c r="C154" s="1"/>
      <c r="D154" s="1"/>
      <c r="E154" s="1"/>
      <c r="F154" s="1"/>
    </row>
    <row r="155" spans="2:6">
      <c r="B155" s="41"/>
      <c r="C155" s="1"/>
      <c r="D155" s="1"/>
      <c r="E155" s="1"/>
      <c r="F155" s="1"/>
    </row>
    <row r="156" spans="2:6">
      <c r="B156" s="41"/>
      <c r="C156" s="1"/>
      <c r="D156" s="1"/>
      <c r="E156" s="1"/>
      <c r="F156" s="1"/>
    </row>
    <row r="157" spans="2:6">
      <c r="B157" s="41"/>
      <c r="C157" s="1"/>
      <c r="D157" s="1"/>
      <c r="E157" s="1"/>
      <c r="F157" s="1"/>
    </row>
    <row r="158" spans="2:6">
      <c r="B158" s="41"/>
      <c r="C158" s="1"/>
      <c r="D158" s="1"/>
      <c r="E158" s="1"/>
      <c r="F158" s="1"/>
    </row>
    <row r="159" spans="2:6">
      <c r="B159" s="41"/>
      <c r="C159" s="1"/>
      <c r="D159" s="1"/>
      <c r="E159" s="1"/>
      <c r="F159" s="1"/>
    </row>
    <row r="160" spans="2:6">
      <c r="C160" s="1"/>
      <c r="D160" s="1"/>
      <c r="E160" s="1"/>
      <c r="F160" s="1"/>
    </row>
    <row r="161" spans="3:6">
      <c r="C161" s="1"/>
      <c r="D161" s="1"/>
      <c r="E161" s="1"/>
      <c r="F161" s="1"/>
    </row>
    <row r="162" spans="3:6">
      <c r="C162" s="1"/>
      <c r="D162" s="1"/>
      <c r="E162" s="1"/>
      <c r="F162" s="1"/>
    </row>
    <row r="163" spans="3:6">
      <c r="C163" s="1"/>
      <c r="D163" s="1"/>
      <c r="E163" s="1"/>
      <c r="F163" s="1"/>
    </row>
  </sheetData>
  <phoneticPr fontId="0" type="noConversion"/>
  <printOptions headings="1" gridLines="1"/>
  <pageMargins left="0.63" right="0.62" top="1" bottom="1" header="0.5" footer="0.5"/>
  <pageSetup scale="61" orientation="landscape" r:id="rId1"/>
  <headerFooter alignWithMargins="0">
    <oddFooter>&amp;L&amp;D &amp;T&amp;C&amp;P of &amp;N&amp;R&amp;F &amp;A</oddFooter>
  </headerFooter>
</worksheet>
</file>

<file path=xl/worksheets/sheet7.xml><?xml version="1.0" encoding="utf-8"?>
<worksheet xmlns="http://schemas.openxmlformats.org/spreadsheetml/2006/main" xmlns:r="http://schemas.openxmlformats.org/officeDocument/2006/relationships">
  <sheetPr codeName="Sheet12" enableFormatConditionsCalculation="0">
    <tabColor rgb="FFFF0000"/>
  </sheetPr>
  <dimension ref="A1:H99"/>
  <sheetViews>
    <sheetView topLeftCell="B1" workbookViewId="0">
      <pane xSplit="1" ySplit="8" topLeftCell="C72" activePane="bottomRight" state="frozen"/>
      <selection activeCell="A47" sqref="A47:IV49"/>
      <selection pane="topRight" activeCell="A47" sqref="A47:IV49"/>
      <selection pane="bottomLeft" activeCell="A47" sqref="A47:IV49"/>
      <selection pane="bottomRight" activeCell="G80" sqref="G80"/>
    </sheetView>
  </sheetViews>
  <sheetFormatPr defaultRowHeight="12.75"/>
  <cols>
    <col min="1" max="1" width="9.28515625" customWidth="1"/>
    <col min="2" max="2" width="49.5703125" customWidth="1"/>
    <col min="3" max="6" width="10.28515625" customWidth="1"/>
    <col min="7" max="7" width="23.28515625" customWidth="1"/>
    <col min="8" max="8" width="28" customWidth="1"/>
  </cols>
  <sheetData>
    <row r="1" spans="1:8">
      <c r="A1" t="s">
        <v>95</v>
      </c>
      <c r="B1" s="25" t="s">
        <v>168</v>
      </c>
    </row>
    <row r="3" spans="1:8">
      <c r="C3" s="8"/>
    </row>
    <row r="8" spans="1:8">
      <c r="A8" s="2" t="s">
        <v>37</v>
      </c>
      <c r="B8" s="2" t="s">
        <v>81</v>
      </c>
      <c r="C8" s="3" t="s">
        <v>135</v>
      </c>
      <c r="D8" s="3" t="s">
        <v>136</v>
      </c>
      <c r="E8" s="3" t="s">
        <v>137</v>
      </c>
      <c r="F8" s="3" t="s">
        <v>138</v>
      </c>
      <c r="G8" s="3" t="s">
        <v>34</v>
      </c>
      <c r="H8" s="4" t="s">
        <v>46</v>
      </c>
    </row>
    <row r="9" spans="1:8">
      <c r="B9" t="str">
        <f>MLIST!D9</f>
        <v>Lighting - New</v>
      </c>
      <c r="C9" s="104">
        <v>0</v>
      </c>
      <c r="D9" s="104">
        <v>0</v>
      </c>
      <c r="E9" s="104">
        <v>0</v>
      </c>
      <c r="F9" s="104">
        <v>0</v>
      </c>
      <c r="G9" t="s">
        <v>624</v>
      </c>
    </row>
    <row r="10" spans="1:8">
      <c r="B10" t="str">
        <f>MLIST!D10</f>
        <v>Lighting - NR</v>
      </c>
      <c r="C10" s="104">
        <v>0</v>
      </c>
      <c r="D10" s="104">
        <v>0</v>
      </c>
      <c r="E10" s="104">
        <v>0</v>
      </c>
      <c r="F10" s="104">
        <v>0</v>
      </c>
      <c r="G10" t="s">
        <v>624</v>
      </c>
      <c r="H10" s="24"/>
    </row>
    <row r="11" spans="1:8">
      <c r="B11" t="str">
        <f>MLIST!D11</f>
        <v>Lighting - PPA</v>
      </c>
      <c r="C11" s="31">
        <v>0</v>
      </c>
      <c r="D11" s="31">
        <v>0</v>
      </c>
      <c r="E11" s="31">
        <v>0</v>
      </c>
      <c r="F11" s="31">
        <v>0</v>
      </c>
    </row>
    <row r="12" spans="1:8">
      <c r="B12" t="str">
        <f>MLIST!D12</f>
        <v>Dishwasher - New</v>
      </c>
      <c r="C12" s="94">
        <v>0</v>
      </c>
      <c r="D12" s="94">
        <v>0</v>
      </c>
      <c r="E12" s="94">
        <v>0</v>
      </c>
      <c r="F12" s="94">
        <v>0</v>
      </c>
      <c r="G12" t="s">
        <v>404</v>
      </c>
    </row>
    <row r="13" spans="1:8">
      <c r="B13" t="str">
        <f>MLIST!D13</f>
        <v>Dishwasher - NR</v>
      </c>
      <c r="C13" s="94">
        <v>0</v>
      </c>
      <c r="D13" s="94">
        <v>0</v>
      </c>
      <c r="E13" s="94">
        <v>0</v>
      </c>
      <c r="F13" s="94">
        <v>0</v>
      </c>
      <c r="G13" t="s">
        <v>404</v>
      </c>
    </row>
    <row r="14" spans="1:8">
      <c r="B14" t="str">
        <f>MLIST!D14</f>
        <v>Clothes Washer - New</v>
      </c>
      <c r="C14" s="31">
        <v>0</v>
      </c>
      <c r="D14" s="31">
        <v>0</v>
      </c>
      <c r="E14" s="31">
        <v>0</v>
      </c>
      <c r="F14" s="31">
        <v>0</v>
      </c>
      <c r="G14" t="s">
        <v>404</v>
      </c>
    </row>
    <row r="15" spans="1:8">
      <c r="B15" t="str">
        <f>MLIST!D15</f>
        <v>Clothes Washer - NR</v>
      </c>
      <c r="C15" s="31">
        <v>0</v>
      </c>
      <c r="D15" s="31">
        <v>0</v>
      </c>
      <c r="E15" s="31">
        <v>0</v>
      </c>
      <c r="F15" s="31">
        <v>0</v>
      </c>
      <c r="G15" t="s">
        <v>404</v>
      </c>
    </row>
    <row r="16" spans="1:8">
      <c r="B16" t="str">
        <f>MLIST!D16</f>
        <v>WasteWater Heat Recovery - New</v>
      </c>
      <c r="C16" s="31">
        <v>0</v>
      </c>
      <c r="D16" s="31">
        <v>0</v>
      </c>
      <c r="E16" s="31">
        <v>0</v>
      </c>
      <c r="F16" s="31">
        <v>0</v>
      </c>
    </row>
    <row r="17" spans="1:7">
      <c r="B17" t="str">
        <f>MLIST!D17</f>
        <v>Showerheads - New</v>
      </c>
      <c r="C17" s="31">
        <f>48.4%</f>
        <v>0.48399999999999999</v>
      </c>
      <c r="D17" s="31">
        <v>0.42</v>
      </c>
      <c r="E17" s="31">
        <v>0.42</v>
      </c>
      <c r="F17" s="31">
        <v>0.66</v>
      </c>
      <c r="G17" t="s">
        <v>303</v>
      </c>
    </row>
    <row r="18" spans="1:7">
      <c r="B18" t="str">
        <f>MLIST!D18</f>
        <v>Showerheads - Retro</v>
      </c>
      <c r="C18" s="31">
        <f>48.4%+[7]Accomplishments!$H$13</f>
        <v>0.55752571342007584</v>
      </c>
      <c r="D18" s="31">
        <v>0.42</v>
      </c>
      <c r="E18" s="31">
        <v>0.42</v>
      </c>
      <c r="F18" s="31">
        <v>0.66</v>
      </c>
      <c r="G18" t="s">
        <v>445</v>
      </c>
    </row>
    <row r="19" spans="1:7">
      <c r="B19" t="str">
        <f>MLIST!D19</f>
        <v>HPWH - New</v>
      </c>
      <c r="C19" s="94">
        <v>1E-3</v>
      </c>
      <c r="D19" s="31">
        <v>0</v>
      </c>
      <c r="E19" s="31">
        <v>0</v>
      </c>
      <c r="F19" s="31">
        <v>0</v>
      </c>
      <c r="G19" t="s">
        <v>282</v>
      </c>
    </row>
    <row r="20" spans="1:7">
      <c r="B20" t="str">
        <f>MLIST!D20</f>
        <v>HPWH - NR</v>
      </c>
      <c r="C20" s="94">
        <v>1E-3</v>
      </c>
      <c r="D20" s="31">
        <v>0</v>
      </c>
      <c r="E20" s="31">
        <v>0</v>
      </c>
      <c r="F20" s="31">
        <v>0</v>
      </c>
      <c r="G20" t="s">
        <v>282</v>
      </c>
    </row>
    <row r="21" spans="1:7">
      <c r="B21" t="str">
        <f>MLIST!D21</f>
        <v>EV Supply Equip - NR</v>
      </c>
      <c r="C21" s="94">
        <v>0.01</v>
      </c>
      <c r="D21" s="31">
        <v>0</v>
      </c>
      <c r="E21" s="31">
        <v>0</v>
      </c>
      <c r="F21" s="31">
        <v>0</v>
      </c>
      <c r="G21" t="s">
        <v>450</v>
      </c>
    </row>
    <row r="22" spans="1:7" s="8" customFormat="1">
      <c r="A22"/>
      <c r="B22" t="str">
        <f>MLIST!D22</f>
        <v>Clothes Dryer - New</v>
      </c>
      <c r="C22" s="94">
        <v>0</v>
      </c>
      <c r="D22" s="94">
        <v>0</v>
      </c>
      <c r="E22" s="94">
        <v>0</v>
      </c>
      <c r="F22" s="94">
        <v>0</v>
      </c>
      <c r="G22" t="s">
        <v>481</v>
      </c>
    </row>
    <row r="23" spans="1:7" s="8" customFormat="1">
      <c r="A23"/>
      <c r="B23" t="str">
        <f>MLIST!D23</f>
        <v>Clothes Dryer - NR</v>
      </c>
      <c r="C23" s="94">
        <v>0</v>
      </c>
      <c r="D23" s="94">
        <v>0</v>
      </c>
      <c r="E23" s="94">
        <v>0</v>
      </c>
      <c r="F23" s="94">
        <v>0</v>
      </c>
      <c r="G23" t="s">
        <v>481</v>
      </c>
    </row>
    <row r="24" spans="1:7">
      <c r="B24" t="str">
        <f>MLIST!D24</f>
        <v>Refrigerator - New</v>
      </c>
      <c r="C24" s="94">
        <v>0</v>
      </c>
      <c r="D24" s="94">
        <v>0</v>
      </c>
      <c r="E24" s="94">
        <v>0</v>
      </c>
      <c r="F24" s="94">
        <v>0</v>
      </c>
      <c r="G24" t="s">
        <v>404</v>
      </c>
    </row>
    <row r="25" spans="1:7">
      <c r="B25" t="str">
        <f>MLIST!D25</f>
        <v>Refrigerator - NR</v>
      </c>
      <c r="C25" s="94">
        <v>0</v>
      </c>
      <c r="D25" s="94">
        <v>0</v>
      </c>
      <c r="E25" s="94">
        <v>0</v>
      </c>
      <c r="F25" s="94">
        <v>0</v>
      </c>
      <c r="G25" t="s">
        <v>404</v>
      </c>
    </row>
    <row r="26" spans="1:7">
      <c r="B26" t="str">
        <f>MLIST!D26</f>
        <v>Freezer - New</v>
      </c>
      <c r="C26" s="94">
        <v>0</v>
      </c>
      <c r="D26" s="94">
        <v>0</v>
      </c>
      <c r="E26" s="94">
        <v>0</v>
      </c>
      <c r="F26" s="94">
        <v>0</v>
      </c>
      <c r="G26" t="s">
        <v>404</v>
      </c>
    </row>
    <row r="27" spans="1:7">
      <c r="B27" t="str">
        <f>MLIST!D27</f>
        <v>Freezer - NR</v>
      </c>
      <c r="C27" s="94">
        <v>0</v>
      </c>
      <c r="D27" s="94">
        <v>0</v>
      </c>
      <c r="E27" s="94">
        <v>0</v>
      </c>
      <c r="F27" s="94">
        <v>0</v>
      </c>
      <c r="G27" t="s">
        <v>404</v>
      </c>
    </row>
    <row r="28" spans="1:7">
      <c r="B28" t="str">
        <f>MLIST!D28</f>
        <v>Solar Water Heater - New</v>
      </c>
      <c r="C28" s="94">
        <v>0.01</v>
      </c>
      <c r="D28" s="94">
        <v>0</v>
      </c>
    </row>
    <row r="29" spans="1:7">
      <c r="B29" t="str">
        <f>MLIST!D29</f>
        <v>Solar Water Heater - NR</v>
      </c>
      <c r="C29" s="94">
        <v>0.01</v>
      </c>
      <c r="D29" s="94">
        <v>0</v>
      </c>
    </row>
    <row r="30" spans="1:7">
      <c r="B30" t="str">
        <f>MLIST!D30</f>
        <v>Solar Water Heater - Retro</v>
      </c>
      <c r="C30" s="94">
        <v>0.01</v>
      </c>
      <c r="D30" s="94">
        <v>0</v>
      </c>
    </row>
    <row r="31" spans="1:7">
      <c r="B31">
        <f>MLIST!D31</f>
        <v>0</v>
      </c>
      <c r="C31" s="94"/>
      <c r="D31" s="94"/>
    </row>
    <row r="32" spans="1:7">
      <c r="B32">
        <f>MLIST!D32</f>
        <v>0</v>
      </c>
      <c r="C32" s="94"/>
    </row>
    <row r="33" spans="2:7">
      <c r="B33" t="str">
        <f>MLIST!D33</f>
        <v>Electric Oven - New</v>
      </c>
      <c r="C33" s="94">
        <v>0.1</v>
      </c>
      <c r="D33" s="94">
        <v>0.1</v>
      </c>
      <c r="E33" s="94">
        <v>0.1</v>
      </c>
      <c r="F33" s="94">
        <v>0.1</v>
      </c>
      <c r="G33" t="s">
        <v>403</v>
      </c>
    </row>
    <row r="34" spans="2:7">
      <c r="B34" t="str">
        <f>MLIST!D34</f>
        <v>Electric Oven - NR</v>
      </c>
      <c r="C34" s="94">
        <v>0.1</v>
      </c>
      <c r="D34" s="94">
        <v>0.1</v>
      </c>
      <c r="E34" s="94">
        <v>0.1</v>
      </c>
      <c r="F34" s="94">
        <v>0.1</v>
      </c>
      <c r="G34" t="s">
        <v>403</v>
      </c>
    </row>
    <row r="35" spans="2:7">
      <c r="B35" t="str">
        <f>MLIST!D35</f>
        <v>Microwave - New</v>
      </c>
      <c r="C35" s="94">
        <v>0</v>
      </c>
      <c r="D35" s="30">
        <v>0</v>
      </c>
      <c r="E35" s="30">
        <v>0</v>
      </c>
      <c r="F35" s="30">
        <v>0</v>
      </c>
      <c r="G35" t="s">
        <v>405</v>
      </c>
    </row>
    <row r="36" spans="2:7">
      <c r="B36" t="str">
        <f>MLIST!D36</f>
        <v>Microwave - NR</v>
      </c>
      <c r="C36" s="94">
        <v>0</v>
      </c>
      <c r="D36" s="30">
        <v>0</v>
      </c>
      <c r="E36" s="30">
        <v>0</v>
      </c>
      <c r="F36" s="30">
        <v>0</v>
      </c>
      <c r="G36" t="s">
        <v>405</v>
      </c>
    </row>
    <row r="37" spans="2:7">
      <c r="B37" t="str">
        <f>MLIST!D37</f>
        <v>Monitor - New</v>
      </c>
      <c r="C37" s="31">
        <v>0.55000000000000004</v>
      </c>
      <c r="D37" s="31">
        <v>0.55000000000000004</v>
      </c>
      <c r="E37" s="31">
        <v>0.55000000000000004</v>
      </c>
      <c r="F37" s="31">
        <v>0.55000000000000004</v>
      </c>
      <c r="G37" t="s">
        <v>408</v>
      </c>
    </row>
    <row r="38" spans="2:7">
      <c r="B38" t="str">
        <f>MLIST!D38</f>
        <v>Monitor - NR</v>
      </c>
      <c r="C38" s="31">
        <v>0.55000000000000004</v>
      </c>
      <c r="D38" s="31">
        <v>0.55000000000000004</v>
      </c>
      <c r="E38" s="31">
        <v>0.55000000000000004</v>
      </c>
      <c r="F38" s="31">
        <v>0.55000000000000004</v>
      </c>
      <c r="G38" t="s">
        <v>408</v>
      </c>
    </row>
    <row r="39" spans="2:7">
      <c r="B39" t="str">
        <f>MLIST!D39</f>
        <v>Desktop - New</v>
      </c>
      <c r="C39" s="94">
        <v>0.25</v>
      </c>
      <c r="D39" s="94">
        <v>0.25</v>
      </c>
      <c r="E39" s="94">
        <v>0.25</v>
      </c>
      <c r="F39" s="94">
        <v>0.25</v>
      </c>
      <c r="G39" t="s">
        <v>408</v>
      </c>
    </row>
    <row r="40" spans="2:7">
      <c r="B40" t="str">
        <f>MLIST!D40</f>
        <v>Desktop - NR</v>
      </c>
      <c r="C40" s="94">
        <v>0.25</v>
      </c>
      <c r="D40" s="94">
        <v>0.25</v>
      </c>
      <c r="E40" s="94">
        <v>0.25</v>
      </c>
      <c r="F40" s="94">
        <v>0.25</v>
      </c>
      <c r="G40" t="s">
        <v>408</v>
      </c>
    </row>
    <row r="41" spans="2:7">
      <c r="B41" t="str">
        <f>MLIST!D41</f>
        <v>Laptop - New</v>
      </c>
      <c r="C41" s="94">
        <v>0.74</v>
      </c>
      <c r="D41" s="94">
        <v>0.74</v>
      </c>
      <c r="E41" s="94">
        <v>0.74</v>
      </c>
      <c r="F41" s="94">
        <v>0.74</v>
      </c>
      <c r="G41" t="s">
        <v>408</v>
      </c>
    </row>
    <row r="42" spans="2:7">
      <c r="B42" t="str">
        <f>MLIST!D42</f>
        <v>Laptop - NR</v>
      </c>
      <c r="C42" s="94">
        <v>0.74</v>
      </c>
      <c r="D42" s="94">
        <v>0.74</v>
      </c>
      <c r="E42" s="94">
        <v>0.74</v>
      </c>
      <c r="F42" s="94">
        <v>0.74</v>
      </c>
      <c r="G42" t="s">
        <v>408</v>
      </c>
    </row>
    <row r="43" spans="2:7">
      <c r="B43" t="str">
        <f>MLIST!D43</f>
        <v>Computer - New</v>
      </c>
      <c r="C43" s="94"/>
      <c r="D43" s="94"/>
      <c r="E43" s="94"/>
      <c r="F43" s="94"/>
    </row>
    <row r="44" spans="2:7">
      <c r="B44" t="str">
        <f>MLIST!D44</f>
        <v>Computer - NR</v>
      </c>
      <c r="C44" s="94"/>
      <c r="D44" s="94"/>
      <c r="E44" s="94"/>
      <c r="F44" s="94"/>
    </row>
    <row r="45" spans="2:7">
      <c r="B45" t="str">
        <f>MLIST!D45</f>
        <v>ASHP - New</v>
      </c>
      <c r="C45" s="31">
        <v>0.02</v>
      </c>
      <c r="D45" s="31">
        <v>0</v>
      </c>
      <c r="E45" s="31">
        <v>0</v>
      </c>
      <c r="F45" s="31">
        <v>0</v>
      </c>
      <c r="G45" t="s">
        <v>464</v>
      </c>
    </row>
    <row r="46" spans="2:7">
      <c r="B46" t="str">
        <f>MLIST!D46</f>
        <v>ASHP - NR</v>
      </c>
      <c r="C46" s="31">
        <v>0.02</v>
      </c>
      <c r="D46" s="31">
        <v>0</v>
      </c>
      <c r="E46" s="31">
        <v>0</v>
      </c>
      <c r="F46" s="31">
        <v>0</v>
      </c>
      <c r="G46" t="s">
        <v>464</v>
      </c>
    </row>
    <row r="47" spans="2:7">
      <c r="B47" t="str">
        <f>MLIST!D47</f>
        <v>HP - Retro</v>
      </c>
    </row>
    <row r="48" spans="2:7">
      <c r="B48" t="str">
        <f>MLIST!D48</f>
        <v>DHP - New</v>
      </c>
      <c r="C48" s="31">
        <v>0.02</v>
      </c>
      <c r="D48" s="104">
        <v>0</v>
      </c>
      <c r="E48" s="104">
        <v>0</v>
      </c>
      <c r="F48" s="104">
        <v>0</v>
      </c>
      <c r="G48" t="s">
        <v>462</v>
      </c>
    </row>
    <row r="49" spans="2:7">
      <c r="B49" t="str">
        <f>MLIST!D49</f>
        <v>DHP - NR</v>
      </c>
      <c r="C49" s="31">
        <v>0.02</v>
      </c>
      <c r="D49" s="104">
        <v>0</v>
      </c>
      <c r="E49" s="104">
        <v>0</v>
      </c>
      <c r="F49" s="104">
        <v>0</v>
      </c>
      <c r="G49" t="s">
        <v>462</v>
      </c>
    </row>
    <row r="50" spans="2:7">
      <c r="B50" t="str">
        <f>MLIST!D50</f>
        <v>DHP - Retro</v>
      </c>
    </row>
    <row r="51" spans="2:7">
      <c r="B51" t="str">
        <f>MLIST!D51</f>
        <v>Duct Sealing - New</v>
      </c>
      <c r="C51" s="119">
        <f>1-[17]SFducttesting_dbase!$AN$262</f>
        <v>0.5480228071825386</v>
      </c>
      <c r="D51" s="8"/>
      <c r="E51" s="8"/>
      <c r="F51" s="119">
        <f>1-[17]MHducttesting!$AN$150</f>
        <v>0.43943299231914901</v>
      </c>
      <c r="G51" t="s">
        <v>566</v>
      </c>
    </row>
    <row r="52" spans="2:7">
      <c r="B52" t="str">
        <f>MLIST!D52</f>
        <v>Duct Sealing - Retro</v>
      </c>
      <c r="C52" s="119">
        <f>1-[17]SFducttesting_dbase!$AN$262</f>
        <v>0.5480228071825386</v>
      </c>
      <c r="D52" s="8"/>
      <c r="E52" s="8"/>
      <c r="F52" s="119">
        <f>1-[17]MHducttesting!$AN$150</f>
        <v>0.43943299231914901</v>
      </c>
      <c r="G52" t="s">
        <v>566</v>
      </c>
    </row>
    <row r="53" spans="2:7">
      <c r="B53" t="str">
        <f>MLIST!D53</f>
        <v>WIFI enabled tstats - New</v>
      </c>
      <c r="C53" s="31">
        <v>0</v>
      </c>
      <c r="D53" s="31">
        <v>0</v>
      </c>
      <c r="E53" s="31">
        <v>0</v>
      </c>
      <c r="F53" s="31">
        <v>0</v>
      </c>
      <c r="G53" t="s">
        <v>450</v>
      </c>
    </row>
    <row r="54" spans="2:7">
      <c r="B54" t="str">
        <f>MLIST!D54</f>
        <v>WIFI enabled tstats - Retro</v>
      </c>
      <c r="C54" s="31">
        <v>0.01</v>
      </c>
      <c r="D54" s="31">
        <v>0.01</v>
      </c>
      <c r="E54" s="31">
        <v>0.01</v>
      </c>
      <c r="F54" s="31">
        <v>0.01</v>
      </c>
      <c r="G54" t="s">
        <v>450</v>
      </c>
    </row>
    <row r="55" spans="2:7">
      <c r="B55" t="str">
        <f>MLIST!D55</f>
        <v>Combo DHP/HPWH units - New</v>
      </c>
    </row>
    <row r="56" spans="2:7">
      <c r="B56" t="str">
        <f>MLIST!D56</f>
        <v>Combo DHP/HPWH units - NR</v>
      </c>
    </row>
    <row r="57" spans="2:7">
      <c r="B57" t="str">
        <f>MLIST!D57</f>
        <v>Combo DHP/HPWH units - Retro</v>
      </c>
    </row>
    <row r="58" spans="2:7">
      <c r="B58" t="str">
        <f>MLIST!D58</f>
        <v>Aerator - New</v>
      </c>
      <c r="C58" s="31">
        <v>0.65</v>
      </c>
      <c r="D58" s="31">
        <v>0.65</v>
      </c>
      <c r="E58" s="31">
        <v>0.65</v>
      </c>
      <c r="F58" s="31">
        <v>0.65</v>
      </c>
      <c r="G58" t="s">
        <v>407</v>
      </c>
    </row>
    <row r="59" spans="2:7">
      <c r="B59" t="str">
        <f>MLIST!D59</f>
        <v>Aerator - Retro</v>
      </c>
      <c r="C59" s="31">
        <v>0.65</v>
      </c>
      <c r="D59" s="31">
        <v>0.65</v>
      </c>
      <c r="E59" s="31">
        <v>0.65</v>
      </c>
      <c r="F59" s="31">
        <v>0.65</v>
      </c>
      <c r="G59" t="s">
        <v>407</v>
      </c>
    </row>
    <row r="60" spans="2:7">
      <c r="B60" t="str">
        <f>MLIST!D60</f>
        <v>Behavior - Retro</v>
      </c>
      <c r="C60" s="31">
        <v>0</v>
      </c>
      <c r="D60" s="31">
        <v>0</v>
      </c>
      <c r="E60" s="31">
        <v>0</v>
      </c>
      <c r="F60" s="31">
        <v>0</v>
      </c>
    </row>
    <row r="61" spans="2:7">
      <c r="B61" t="str">
        <f>MLIST!D61</f>
        <v>Behavior - New</v>
      </c>
      <c r="C61" s="31">
        <v>0</v>
      </c>
      <c r="D61" s="31">
        <v>0</v>
      </c>
      <c r="E61" s="31">
        <v>0</v>
      </c>
      <c r="F61" s="31">
        <v>0</v>
      </c>
    </row>
    <row r="62" spans="2:7">
      <c r="B62">
        <f>MLIST!D62</f>
        <v>0</v>
      </c>
    </row>
    <row r="63" spans="2:7">
      <c r="B63" t="str">
        <f>MLIST!D63</f>
        <v>Heat Recovery Ventilation - New</v>
      </c>
      <c r="C63" s="104">
        <v>0.01</v>
      </c>
      <c r="E63" s="31"/>
    </row>
    <row r="64" spans="2:7">
      <c r="B64" t="str">
        <f>MLIST!D64</f>
        <v>GSHP - New</v>
      </c>
      <c r="C64" s="94">
        <v>0</v>
      </c>
      <c r="G64" t="s">
        <v>538</v>
      </c>
    </row>
    <row r="65" spans="2:7">
      <c r="B65" t="str">
        <f>MLIST!D65</f>
        <v>GSHP - NR</v>
      </c>
      <c r="C65" s="94">
        <v>0</v>
      </c>
      <c r="G65" t="s">
        <v>538</v>
      </c>
    </row>
    <row r="66" spans="2:7">
      <c r="B66">
        <f>MLIST!D66</f>
        <v>0</v>
      </c>
    </row>
    <row r="67" spans="2:7">
      <c r="B67" t="str">
        <f>MLIST!D67</f>
        <v>ECM for HVAC ventilation - New</v>
      </c>
    </row>
    <row r="68" spans="2:7">
      <c r="B68" t="str">
        <f>MLIST!D68</f>
        <v>ECM for HVAC ventilation - NR</v>
      </c>
    </row>
    <row r="69" spans="2:7">
      <c r="B69" t="str">
        <f>MLIST!D69</f>
        <v>Whole house/attic fan - New</v>
      </c>
    </row>
    <row r="70" spans="2:7">
      <c r="B70" t="str">
        <f>MLIST!D70</f>
        <v>Whole house/attic fan - Retro</v>
      </c>
    </row>
    <row r="71" spans="2:7">
      <c r="B71" t="str">
        <f>MLIST!D71</f>
        <v>WH Pipe insulation - Retro</v>
      </c>
    </row>
    <row r="72" spans="2:7">
      <c r="B72" t="str">
        <f>MLIST!D72</f>
        <v>DHP Ducted - NR</v>
      </c>
      <c r="C72" s="31">
        <v>0.01</v>
      </c>
      <c r="D72" s="31">
        <v>0</v>
      </c>
      <c r="E72" s="31">
        <v>0</v>
      </c>
      <c r="F72" s="31">
        <v>0.01</v>
      </c>
    </row>
    <row r="73" spans="2:7">
      <c r="B73" t="str">
        <f>MLIST!D73</f>
        <v>Advanced Power Strips - New</v>
      </c>
      <c r="C73" s="30">
        <v>0.01</v>
      </c>
      <c r="D73" s="30">
        <v>0.01</v>
      </c>
      <c r="E73" s="30">
        <v>0.01</v>
      </c>
      <c r="F73" s="30">
        <v>0.01</v>
      </c>
      <c r="G73" t="s">
        <v>442</v>
      </c>
    </row>
    <row r="74" spans="2:7">
      <c r="B74" t="str">
        <f>MLIST!D74</f>
        <v>Advanced Power Strips - Retro</v>
      </c>
      <c r="C74" s="30">
        <v>0.01</v>
      </c>
      <c r="D74" s="30">
        <v>0.01</v>
      </c>
      <c r="E74" s="30">
        <v>0.01</v>
      </c>
      <c r="F74" s="30">
        <v>0.01</v>
      </c>
      <c r="G74" t="s">
        <v>442</v>
      </c>
    </row>
    <row r="75" spans="2:7">
      <c r="B75" t="str">
        <f>MLIST!D75</f>
        <v>Controls Commissioning and Sizing - New</v>
      </c>
      <c r="C75" s="111">
        <v>0.05</v>
      </c>
      <c r="D75" s="30"/>
      <c r="E75" s="30"/>
      <c r="F75" s="111">
        <v>0.05</v>
      </c>
      <c r="G75" t="s">
        <v>565</v>
      </c>
    </row>
    <row r="76" spans="2:7">
      <c r="B76" t="str">
        <f>MLIST!D76</f>
        <v>Controls Commissioning and Sizing - NR</v>
      </c>
      <c r="C76" s="111">
        <v>0.05</v>
      </c>
      <c r="D76" s="30"/>
      <c r="E76" s="30"/>
      <c r="F76" s="111">
        <v>0.05</v>
      </c>
      <c r="G76" t="s">
        <v>565</v>
      </c>
    </row>
    <row r="77" spans="2:7">
      <c r="B77" t="str">
        <f>MLIST!D77</f>
        <v>ResWx - Retro</v>
      </c>
      <c r="C77" s="30"/>
      <c r="D77" s="30"/>
      <c r="E77" s="30"/>
      <c r="F77" s="30"/>
      <c r="G77" t="s">
        <v>282</v>
      </c>
    </row>
    <row r="78" spans="2:7">
      <c r="B78" t="str">
        <f>MLIST!D78</f>
        <v>ATTIC R0 - R19 - Retro</v>
      </c>
      <c r="C78" s="30"/>
      <c r="D78" s="30"/>
      <c r="E78" s="30"/>
      <c r="F78" s="30"/>
    </row>
    <row r="79" spans="2:7">
      <c r="B79" t="str">
        <f>MLIST!D79</f>
        <v>ATTIC R0 - R22 - Retro</v>
      </c>
      <c r="C79" s="30"/>
      <c r="D79" s="30"/>
      <c r="E79" s="30"/>
      <c r="F79" s="30">
        <f>1-[28]Applicability!$B$5</f>
        <v>0.98234576822530661</v>
      </c>
    </row>
    <row r="80" spans="2:7">
      <c r="B80" t="str">
        <f>MLIST!D80</f>
        <v>ATTIC R0 - R30 - Retro</v>
      </c>
      <c r="C80" s="30"/>
      <c r="D80" s="30"/>
      <c r="E80" s="22"/>
      <c r="F80" s="30">
        <f>1-[28]Applicability!$A$5</f>
        <v>0.94629090512719527</v>
      </c>
    </row>
    <row r="81" spans="2:7">
      <c r="B81" t="str">
        <f>MLIST!D81</f>
        <v>ATTIC R0 - R38 - Retro</v>
      </c>
      <c r="C81" s="30">
        <f>(1-[26]CharacteristicScenariosRH!$C$238)+1%</f>
        <v>0.91582363255140953</v>
      </c>
      <c r="D81" s="22">
        <f>1-22.6%+1%</f>
        <v>0.78400000000000003</v>
      </c>
      <c r="E81" s="22"/>
      <c r="F81" s="22"/>
      <c r="G81" t="s">
        <v>629</v>
      </c>
    </row>
    <row r="82" spans="2:7">
      <c r="B82" t="str">
        <f>MLIST!D82</f>
        <v>ATTIC R0 - R49 - Retro</v>
      </c>
      <c r="C82" s="30">
        <f>(1-[26]CharacteristicScenariosRH!$C$238)+1%</f>
        <v>0.91582363255140953</v>
      </c>
      <c r="D82" s="22">
        <f>1-22.6%+1%</f>
        <v>0.78400000000000003</v>
      </c>
      <c r="E82" s="22"/>
      <c r="F82" s="22"/>
      <c r="G82" t="s">
        <v>629</v>
      </c>
    </row>
    <row r="83" spans="2:7">
      <c r="B83" t="str">
        <f>MLIST!D83</f>
        <v>ATTIC R11 - R30 - Retro</v>
      </c>
      <c r="C83" s="30"/>
      <c r="D83" s="22"/>
      <c r="E83" s="22"/>
      <c r="F83" s="22">
        <f>1-[28]Applicability!$C$5</f>
        <v>0.99894666949290001</v>
      </c>
      <c r="G83" t="s">
        <v>282</v>
      </c>
    </row>
    <row r="84" spans="2:7">
      <c r="B84" t="str">
        <f>MLIST!D84</f>
        <v>ATTIC R11 - R38 - Retro</v>
      </c>
      <c r="C84" s="30">
        <f>(1-[26]CharacteristicScenariosRH!$C$239)+1%</f>
        <v>0.86745904032781307</v>
      </c>
      <c r="D84" s="22"/>
      <c r="E84" s="22"/>
      <c r="F84" s="22"/>
      <c r="G84" t="s">
        <v>629</v>
      </c>
    </row>
    <row r="85" spans="2:7">
      <c r="B85" t="str">
        <f>MLIST!D85</f>
        <v>ATTIC R11 - R49 - Retro</v>
      </c>
      <c r="C85" s="30">
        <f>(1-[26]CharacteristicScenariosRH!$C$239)+1%</f>
        <v>0.86745904032781307</v>
      </c>
      <c r="D85" s="22"/>
      <c r="E85" s="22"/>
      <c r="F85" s="22"/>
      <c r="G85" t="s">
        <v>629</v>
      </c>
    </row>
    <row r="86" spans="2:7">
      <c r="B86" t="str">
        <f>MLIST!D86</f>
        <v>ATTIC R19 - R30 - Retro</v>
      </c>
      <c r="C86" s="30"/>
      <c r="D86" s="22">
        <f>1-(11.9%+17.4%)+1%</f>
        <v>0.71700000000000008</v>
      </c>
      <c r="E86" s="22"/>
      <c r="F86" s="22"/>
      <c r="G86" t="s">
        <v>629</v>
      </c>
    </row>
    <row r="87" spans="2:7">
      <c r="B87" t="str">
        <f>MLIST!D87</f>
        <v>ATTIC R19 - R38 - Retro</v>
      </c>
      <c r="C87" s="30">
        <f>(1-[26]CharacteristicScenariosRH!$C$240)+1%</f>
        <v>0.83359064075992961</v>
      </c>
      <c r="D87" s="22">
        <f>1-(11.9%+17.4%)+1%</f>
        <v>0.71700000000000008</v>
      </c>
      <c r="E87" s="22"/>
      <c r="F87" s="22"/>
      <c r="G87" t="s">
        <v>629</v>
      </c>
    </row>
    <row r="88" spans="2:7">
      <c r="B88" t="str">
        <f>MLIST!D88</f>
        <v>ATTIC R19 - R49 - Retro</v>
      </c>
      <c r="C88" s="30">
        <f>(1-[26]CharacteristicScenariosRH!$C$240)+1%</f>
        <v>0.83359064075992961</v>
      </c>
      <c r="D88" s="22">
        <f>1-(11.9%+17.4%)+1%</f>
        <v>0.71700000000000008</v>
      </c>
      <c r="E88" s="22"/>
      <c r="F88" s="22"/>
      <c r="G88" t="s">
        <v>629</v>
      </c>
    </row>
    <row r="89" spans="2:7">
      <c r="B89" t="str">
        <f>MLIST!D89</f>
        <v>WALL R0 - R11 - Retro</v>
      </c>
      <c r="C89" s="30">
        <f>(1-[26]CharacteristicScenariosRH!$C$244)+1%</f>
        <v>0.92532445420117171</v>
      </c>
      <c r="D89" s="22">
        <f>1-8.7%+1%</f>
        <v>0.92300000000000004</v>
      </c>
      <c r="E89" s="22"/>
      <c r="F89" s="22"/>
      <c r="G89" t="s">
        <v>628</v>
      </c>
    </row>
    <row r="90" spans="2:7">
      <c r="B90" t="str">
        <f>MLIST!D90</f>
        <v>FLOOR R0 - R19 - Retro</v>
      </c>
      <c r="C90" s="30">
        <f>(1-[26]CharacteristicScenariosRH!$C$246)+1%</f>
        <v>0.7805402940135866</v>
      </c>
      <c r="D90" s="22">
        <f>1-(19.2%+6.7%)+1%</f>
        <v>0.751</v>
      </c>
      <c r="E90" s="22"/>
      <c r="F90" s="22"/>
      <c r="G90" t="s">
        <v>627</v>
      </c>
    </row>
    <row r="91" spans="2:7">
      <c r="B91" t="str">
        <f>MLIST!D91</f>
        <v>FLOOR R0 - R22 - Retro</v>
      </c>
      <c r="C91" s="30"/>
      <c r="D91" s="22"/>
      <c r="E91" s="22"/>
      <c r="F91" s="22">
        <f>1-[28]Applicability!$D$5</f>
        <v>0.98933475247267177</v>
      </c>
    </row>
    <row r="92" spans="2:7">
      <c r="B92" t="str">
        <f>MLIST!D92</f>
        <v>FLOOR R0 - R25 - Retro</v>
      </c>
      <c r="C92" s="30">
        <f>(1-[26]CharacteristicScenariosRH!$C$246)+1%</f>
        <v>0.7805402940135866</v>
      </c>
      <c r="D92" s="22"/>
      <c r="E92" s="22"/>
      <c r="F92" s="22"/>
      <c r="G92" t="s">
        <v>627</v>
      </c>
    </row>
    <row r="93" spans="2:7">
      <c r="B93" t="str">
        <f>MLIST!D93</f>
        <v>FLOOR R0 - R30 - Retro</v>
      </c>
      <c r="C93" s="30">
        <f>(1-[26]CharacteristicScenariosRH!$C$246)+1%</f>
        <v>0.7805402940135866</v>
      </c>
      <c r="D93" s="22">
        <f>1-(19.2%+6.7%)+1%</f>
        <v>0.751</v>
      </c>
      <c r="E93" s="22"/>
      <c r="F93" s="22"/>
      <c r="G93" t="s">
        <v>627</v>
      </c>
    </row>
    <row r="94" spans="2:7">
      <c r="B94" t="str">
        <f>MLIST!D94</f>
        <v>FLOOR R11 - R22 - Retro</v>
      </c>
      <c r="C94" s="30"/>
      <c r="D94" s="22"/>
      <c r="E94" s="22"/>
      <c r="F94" s="22">
        <f>1-[28]Applicability!$E$5</f>
        <v>0.98376579376328033</v>
      </c>
    </row>
    <row r="95" spans="2:7">
      <c r="B95" t="str">
        <f>MLIST!D95</f>
        <v>WINDOW CL30 Prime Window Replacement of Single Pane Base - Retro</v>
      </c>
      <c r="C95" s="22">
        <f>(1-[26]Window!$T$26)+2%</f>
        <v>0.97569674867310763</v>
      </c>
      <c r="D95" s="22">
        <f>(1-[27]Window!$T$26)+1%</f>
        <v>0.85052050568853632</v>
      </c>
      <c r="E95" s="22"/>
      <c r="F95" s="22">
        <f>1-[28]Applicability!$G$5</f>
        <v>0.98290327051721382</v>
      </c>
      <c r="G95" t="s">
        <v>282</v>
      </c>
    </row>
    <row r="96" spans="2:7">
      <c r="B96" t="str">
        <f>MLIST!D96</f>
        <v>WINDOW CL30 Prime Window Replacement of Double Pane Base - Retro</v>
      </c>
      <c r="C96" s="30">
        <f>(1-[26]Window!$T$25)+3%</f>
        <v>0.10199130967307576</v>
      </c>
      <c r="D96" s="22">
        <f>(1-[27]Window!$T$25)+2%</f>
        <v>0.1912980564981018</v>
      </c>
      <c r="E96" s="22"/>
      <c r="F96" s="22">
        <f>1-[28]Applicability!$F$5</f>
        <v>0.99913039998781261</v>
      </c>
      <c r="G96" t="s">
        <v>626</v>
      </c>
    </row>
    <row r="97" spans="2:7">
      <c r="B97" t="str">
        <f>MLIST!D97</f>
        <v>WINDOW CL22 Prime Window Replacement of Single Pane Base - Retro</v>
      </c>
      <c r="C97" s="22">
        <f>(1-[26]Window!$T$26)+2%</f>
        <v>0.97569674867310763</v>
      </c>
      <c r="D97" s="22">
        <f>(1-[27]Window!$T$26)+1%</f>
        <v>0.85052050568853632</v>
      </c>
      <c r="E97" s="8"/>
      <c r="F97" s="22">
        <f>1-[28]Applicability!$G$5</f>
        <v>0.98290327051721382</v>
      </c>
      <c r="G97" t="s">
        <v>282</v>
      </c>
    </row>
    <row r="98" spans="2:7">
      <c r="B98" t="str">
        <f>MLIST!D98</f>
        <v>WINDOW CL22 Prime Window Replacement of Double Pane Base - Retro</v>
      </c>
      <c r="C98" s="30">
        <f>(1-[26]Window!$T$25)+3%</f>
        <v>0.10199130967307576</v>
      </c>
      <c r="D98" s="22">
        <f>(1-[27]Window!$T$25)+2%</f>
        <v>0.1912980564981018</v>
      </c>
      <c r="E98" s="8"/>
      <c r="F98" s="22">
        <f>1-[28]Applicability!$F$5</f>
        <v>0.99913039998781261</v>
      </c>
      <c r="G98" t="s">
        <v>626</v>
      </c>
    </row>
    <row r="99" spans="2:7">
      <c r="B99" t="str">
        <f>MLIST!D99</f>
        <v>CFM50 Infiltration Reduction - Retro</v>
      </c>
      <c r="C99" s="30">
        <f>1-[26]SFblowerdoor!$U$2</f>
        <v>0.3021611294127764</v>
      </c>
      <c r="E99" s="8"/>
      <c r="F99" s="30">
        <f>1-[28]Applicability!$I$5</f>
        <v>0.91633344981828857</v>
      </c>
    </row>
  </sheetData>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sheetPr codeName="Sheet2" enableFormatConditionsCalculation="0">
    <tabColor indexed="43"/>
  </sheetPr>
  <dimension ref="A1:H81"/>
  <sheetViews>
    <sheetView topLeftCell="A40" workbookViewId="0">
      <selection activeCell="A41" sqref="A41"/>
    </sheetView>
  </sheetViews>
  <sheetFormatPr defaultRowHeight="12.75"/>
  <cols>
    <col min="1" max="1" width="43.5703125" customWidth="1"/>
    <col min="2" max="6" width="10.28515625" customWidth="1"/>
    <col min="8" max="8" width="21.7109375" customWidth="1"/>
  </cols>
  <sheetData>
    <row r="1" spans="1:8">
      <c r="A1" t="s">
        <v>48</v>
      </c>
    </row>
    <row r="8" spans="1:8">
      <c r="A8" s="2" t="s">
        <v>81</v>
      </c>
      <c r="B8" s="3" t="s">
        <v>135</v>
      </c>
      <c r="C8" s="3" t="s">
        <v>136</v>
      </c>
      <c r="D8" s="3" t="s">
        <v>137</v>
      </c>
      <c r="E8" s="3" t="s">
        <v>138</v>
      </c>
      <c r="F8" s="3" t="s">
        <v>33</v>
      </c>
    </row>
    <row r="9" spans="1:8">
      <c r="A9" s="13" t="str">
        <f>MLIST!D9</f>
        <v>Lighting - New</v>
      </c>
      <c r="B9" t="str">
        <f t="shared" ref="B9:F15" si="0">$H9</f>
        <v>Post2016</v>
      </c>
      <c r="C9" t="str">
        <f t="shared" si="0"/>
        <v>Post2016</v>
      </c>
      <c r="D9" t="str">
        <f t="shared" si="0"/>
        <v>Post2016</v>
      </c>
      <c r="E9" t="str">
        <f t="shared" si="0"/>
        <v>Post2016</v>
      </c>
      <c r="F9" t="str">
        <f t="shared" si="0"/>
        <v>Post2016</v>
      </c>
      <c r="H9" t="str">
        <f>IF(RIGHT(A9,3)="New","Post2016","Pre2016")</f>
        <v>Post2016</v>
      </c>
    </row>
    <row r="10" spans="1:8">
      <c r="A10" s="13" t="str">
        <f>MLIST!D10</f>
        <v>Lighting - NR</v>
      </c>
      <c r="B10" t="str">
        <f t="shared" si="0"/>
        <v>Pre2016</v>
      </c>
      <c r="C10" t="str">
        <f t="shared" si="0"/>
        <v>Pre2016</v>
      </c>
      <c r="D10" t="str">
        <f t="shared" si="0"/>
        <v>Pre2016</v>
      </c>
      <c r="E10" t="str">
        <f t="shared" si="0"/>
        <v>Pre2016</v>
      </c>
      <c r="F10" t="str">
        <f t="shared" si="0"/>
        <v>Pre2016</v>
      </c>
      <c r="H10" t="str">
        <f t="shared" ref="H10:H73" si="1">IF(RIGHT(A10,3)="New","Post2016","Pre2016")</f>
        <v>Pre2016</v>
      </c>
    </row>
    <row r="11" spans="1:8">
      <c r="A11" s="13" t="str">
        <f>MLIST!D11</f>
        <v>Lighting - PPA</v>
      </c>
      <c r="B11" t="str">
        <f t="shared" si="0"/>
        <v>Pre2016</v>
      </c>
      <c r="C11" t="str">
        <f t="shared" si="0"/>
        <v>Pre2016</v>
      </c>
      <c r="D11" t="str">
        <f t="shared" si="0"/>
        <v>Pre2016</v>
      </c>
      <c r="E11" t="str">
        <f t="shared" si="0"/>
        <v>Pre2016</v>
      </c>
      <c r="F11" t="str">
        <f t="shared" si="0"/>
        <v>Pre2016</v>
      </c>
      <c r="H11" t="str">
        <f t="shared" si="1"/>
        <v>Pre2016</v>
      </c>
    </row>
    <row r="12" spans="1:8">
      <c r="A12" s="13" t="str">
        <f>MLIST!D12</f>
        <v>Dishwasher - New</v>
      </c>
      <c r="B12" t="str">
        <f t="shared" si="0"/>
        <v>Post2016</v>
      </c>
      <c r="C12" t="str">
        <f t="shared" si="0"/>
        <v>Post2016</v>
      </c>
      <c r="D12" t="str">
        <f t="shared" si="0"/>
        <v>Post2016</v>
      </c>
      <c r="E12" t="str">
        <f t="shared" si="0"/>
        <v>Post2016</v>
      </c>
      <c r="F12" t="str">
        <f t="shared" si="0"/>
        <v>Post2016</v>
      </c>
      <c r="H12" t="str">
        <f t="shared" si="1"/>
        <v>Post2016</v>
      </c>
    </row>
    <row r="13" spans="1:8">
      <c r="A13" s="13" t="str">
        <f>MLIST!D13</f>
        <v>Dishwasher - NR</v>
      </c>
      <c r="B13" t="str">
        <f t="shared" si="0"/>
        <v>Pre2016</v>
      </c>
      <c r="C13" t="str">
        <f t="shared" si="0"/>
        <v>Pre2016</v>
      </c>
      <c r="D13" t="str">
        <f t="shared" si="0"/>
        <v>Pre2016</v>
      </c>
      <c r="E13" t="str">
        <f t="shared" si="0"/>
        <v>Pre2016</v>
      </c>
      <c r="F13" t="str">
        <f t="shared" si="0"/>
        <v>Pre2016</v>
      </c>
      <c r="H13" t="str">
        <f t="shared" si="1"/>
        <v>Pre2016</v>
      </c>
    </row>
    <row r="14" spans="1:8">
      <c r="A14" s="13" t="str">
        <f>MLIST!D14</f>
        <v>Clothes Washer - New</v>
      </c>
      <c r="B14" t="str">
        <f t="shared" si="0"/>
        <v>Post2016</v>
      </c>
      <c r="C14" t="str">
        <f t="shared" si="0"/>
        <v>Post2016</v>
      </c>
      <c r="D14" t="str">
        <f t="shared" si="0"/>
        <v>Post2016</v>
      </c>
      <c r="E14" t="str">
        <f t="shared" si="0"/>
        <v>Post2016</v>
      </c>
      <c r="F14" t="str">
        <f t="shared" si="0"/>
        <v>Post2016</v>
      </c>
      <c r="H14" t="str">
        <f t="shared" si="1"/>
        <v>Post2016</v>
      </c>
    </row>
    <row r="15" spans="1:8">
      <c r="A15" s="13" t="str">
        <f>MLIST!D15</f>
        <v>Clothes Washer - NR</v>
      </c>
      <c r="B15" t="str">
        <f t="shared" si="0"/>
        <v>Pre2016</v>
      </c>
      <c r="C15" t="str">
        <f t="shared" si="0"/>
        <v>Pre2016</v>
      </c>
      <c r="D15" t="str">
        <f t="shared" si="0"/>
        <v>Pre2016</v>
      </c>
      <c r="E15" t="str">
        <f t="shared" si="0"/>
        <v>Pre2016</v>
      </c>
      <c r="F15" t="str">
        <f t="shared" si="0"/>
        <v>Pre2016</v>
      </c>
      <c r="H15" t="str">
        <f t="shared" si="1"/>
        <v>Pre2016</v>
      </c>
    </row>
    <row r="16" spans="1:8">
      <c r="A16" s="13" t="str">
        <f>MLIST!D16</f>
        <v>WasteWater Heat Recovery - New</v>
      </c>
      <c r="B16" t="str">
        <f t="shared" ref="B16:B48" si="2">$H16</f>
        <v>Post2016</v>
      </c>
      <c r="C16" t="str">
        <f t="shared" ref="C16:F36" si="3">$H16</f>
        <v>Post2016</v>
      </c>
      <c r="D16" t="str">
        <f t="shared" si="3"/>
        <v>Post2016</v>
      </c>
      <c r="E16" t="str">
        <f t="shared" si="3"/>
        <v>Post2016</v>
      </c>
      <c r="F16" t="str">
        <f t="shared" si="3"/>
        <v>Post2016</v>
      </c>
      <c r="H16" t="str">
        <f t="shared" si="1"/>
        <v>Post2016</v>
      </c>
    </row>
    <row r="17" spans="1:8">
      <c r="A17" s="13" t="str">
        <f>MLIST!D17</f>
        <v>Showerheads - New</v>
      </c>
      <c r="B17" t="str">
        <f t="shared" si="2"/>
        <v>Post2016</v>
      </c>
      <c r="C17" t="str">
        <f t="shared" si="3"/>
        <v>Post2016</v>
      </c>
      <c r="D17" t="str">
        <f t="shared" si="3"/>
        <v>Post2016</v>
      </c>
      <c r="E17" t="str">
        <f t="shared" si="3"/>
        <v>Post2016</v>
      </c>
      <c r="F17" t="str">
        <f t="shared" si="3"/>
        <v>Post2016</v>
      </c>
      <c r="H17" t="str">
        <f t="shared" si="1"/>
        <v>Post2016</v>
      </c>
    </row>
    <row r="18" spans="1:8">
      <c r="A18" s="13" t="str">
        <f>MLIST!D18</f>
        <v>Showerheads - Retro</v>
      </c>
      <c r="B18" t="str">
        <f t="shared" si="2"/>
        <v>Pre2016</v>
      </c>
      <c r="C18" t="str">
        <f t="shared" si="3"/>
        <v>Pre2016</v>
      </c>
      <c r="D18" t="str">
        <f t="shared" si="3"/>
        <v>Pre2016</v>
      </c>
      <c r="E18" t="str">
        <f t="shared" si="3"/>
        <v>Pre2016</v>
      </c>
      <c r="F18" t="str">
        <f t="shared" si="3"/>
        <v>Pre2016</v>
      </c>
      <c r="H18" t="str">
        <f t="shared" si="1"/>
        <v>Pre2016</v>
      </c>
    </row>
    <row r="19" spans="1:8">
      <c r="A19" s="13" t="str">
        <f>MLIST!D19</f>
        <v>HPWH - New</v>
      </c>
      <c r="B19" t="str">
        <f t="shared" si="2"/>
        <v>Post2016</v>
      </c>
      <c r="C19" t="str">
        <f t="shared" si="3"/>
        <v>Post2016</v>
      </c>
      <c r="D19" t="str">
        <f t="shared" si="3"/>
        <v>Post2016</v>
      </c>
      <c r="E19" t="str">
        <f t="shared" si="3"/>
        <v>Post2016</v>
      </c>
      <c r="F19" t="str">
        <f t="shared" si="3"/>
        <v>Post2016</v>
      </c>
      <c r="H19" t="str">
        <f t="shared" si="1"/>
        <v>Post2016</v>
      </c>
    </row>
    <row r="20" spans="1:8">
      <c r="A20" s="13" t="str">
        <f>MLIST!D20</f>
        <v>HPWH - NR</v>
      </c>
      <c r="B20" t="str">
        <f t="shared" si="2"/>
        <v>Pre2016</v>
      </c>
      <c r="C20" t="str">
        <f t="shared" si="3"/>
        <v>Pre2016</v>
      </c>
      <c r="D20" t="str">
        <f t="shared" si="3"/>
        <v>Pre2016</v>
      </c>
      <c r="E20" t="str">
        <f t="shared" si="3"/>
        <v>Pre2016</v>
      </c>
      <c r="F20" t="str">
        <f t="shared" si="3"/>
        <v>Pre2016</v>
      </c>
      <c r="H20" t="str">
        <f t="shared" si="1"/>
        <v>Pre2016</v>
      </c>
    </row>
    <row r="21" spans="1:8">
      <c r="A21" s="13" t="str">
        <f>MLIST!D21</f>
        <v>EV Supply Equip - NR</v>
      </c>
      <c r="B21" t="str">
        <f t="shared" si="2"/>
        <v>Pre2016</v>
      </c>
      <c r="C21" t="str">
        <f t="shared" si="3"/>
        <v>Pre2016</v>
      </c>
      <c r="D21" t="str">
        <f t="shared" si="3"/>
        <v>Pre2016</v>
      </c>
      <c r="E21" t="str">
        <f t="shared" si="3"/>
        <v>Pre2016</v>
      </c>
      <c r="F21" t="str">
        <f t="shared" si="3"/>
        <v>Pre2016</v>
      </c>
      <c r="H21" t="str">
        <f t="shared" si="1"/>
        <v>Pre2016</v>
      </c>
    </row>
    <row r="22" spans="1:8">
      <c r="A22" s="13" t="str">
        <f>MLIST!D22</f>
        <v>Clothes Dryer - New</v>
      </c>
      <c r="B22" t="str">
        <f t="shared" si="2"/>
        <v>Post2016</v>
      </c>
      <c r="C22" t="str">
        <f t="shared" si="3"/>
        <v>Post2016</v>
      </c>
      <c r="D22" t="str">
        <f t="shared" si="3"/>
        <v>Post2016</v>
      </c>
      <c r="E22" t="str">
        <f t="shared" si="3"/>
        <v>Post2016</v>
      </c>
      <c r="F22" t="str">
        <f t="shared" si="3"/>
        <v>Post2016</v>
      </c>
      <c r="H22" t="str">
        <f t="shared" si="1"/>
        <v>Post2016</v>
      </c>
    </row>
    <row r="23" spans="1:8">
      <c r="A23" s="13" t="str">
        <f>MLIST!D23</f>
        <v>Clothes Dryer - NR</v>
      </c>
      <c r="B23" t="str">
        <f t="shared" si="2"/>
        <v>Pre2016</v>
      </c>
      <c r="C23" t="str">
        <f t="shared" si="3"/>
        <v>Pre2016</v>
      </c>
      <c r="D23" t="str">
        <f t="shared" si="3"/>
        <v>Pre2016</v>
      </c>
      <c r="E23" t="str">
        <f t="shared" si="3"/>
        <v>Pre2016</v>
      </c>
      <c r="F23" t="str">
        <f t="shared" si="3"/>
        <v>Pre2016</v>
      </c>
      <c r="H23" t="str">
        <f t="shared" si="1"/>
        <v>Pre2016</v>
      </c>
    </row>
    <row r="24" spans="1:8">
      <c r="A24" s="13" t="str">
        <f>MLIST!D24</f>
        <v>Refrigerator - New</v>
      </c>
      <c r="B24" t="str">
        <f t="shared" si="2"/>
        <v>Post2016</v>
      </c>
      <c r="C24" t="str">
        <f t="shared" si="3"/>
        <v>Post2016</v>
      </c>
      <c r="D24" t="str">
        <f t="shared" si="3"/>
        <v>Post2016</v>
      </c>
      <c r="E24" t="str">
        <f t="shared" si="3"/>
        <v>Post2016</v>
      </c>
      <c r="F24" t="str">
        <f t="shared" si="3"/>
        <v>Post2016</v>
      </c>
      <c r="H24" t="str">
        <f t="shared" si="1"/>
        <v>Post2016</v>
      </c>
    </row>
    <row r="25" spans="1:8">
      <c r="A25" s="13" t="str">
        <f>MLIST!D25</f>
        <v>Refrigerator - NR</v>
      </c>
      <c r="B25" t="str">
        <f t="shared" si="2"/>
        <v>Pre2016</v>
      </c>
      <c r="C25" t="str">
        <f t="shared" si="3"/>
        <v>Pre2016</v>
      </c>
      <c r="D25" t="str">
        <f t="shared" si="3"/>
        <v>Pre2016</v>
      </c>
      <c r="E25" t="str">
        <f t="shared" si="3"/>
        <v>Pre2016</v>
      </c>
      <c r="F25" t="str">
        <f t="shared" si="3"/>
        <v>Pre2016</v>
      </c>
      <c r="H25" t="str">
        <f t="shared" si="1"/>
        <v>Pre2016</v>
      </c>
    </row>
    <row r="26" spans="1:8">
      <c r="A26" s="13" t="str">
        <f>MLIST!D26</f>
        <v>Freezer - New</v>
      </c>
      <c r="B26" t="str">
        <f t="shared" si="2"/>
        <v>Post2016</v>
      </c>
      <c r="C26" t="str">
        <f t="shared" si="3"/>
        <v>Post2016</v>
      </c>
      <c r="D26" t="str">
        <f t="shared" si="3"/>
        <v>Post2016</v>
      </c>
      <c r="E26" t="str">
        <f t="shared" si="3"/>
        <v>Post2016</v>
      </c>
      <c r="F26" t="str">
        <f t="shared" si="3"/>
        <v>Post2016</v>
      </c>
      <c r="H26" t="str">
        <f t="shared" si="1"/>
        <v>Post2016</v>
      </c>
    </row>
    <row r="27" spans="1:8">
      <c r="A27" s="13" t="str">
        <f>MLIST!D27</f>
        <v>Freezer - NR</v>
      </c>
      <c r="B27" t="str">
        <f t="shared" si="2"/>
        <v>Pre2016</v>
      </c>
      <c r="C27" t="str">
        <f t="shared" si="3"/>
        <v>Pre2016</v>
      </c>
      <c r="D27" t="str">
        <f t="shared" si="3"/>
        <v>Pre2016</v>
      </c>
      <c r="E27" t="str">
        <f t="shared" si="3"/>
        <v>Pre2016</v>
      </c>
      <c r="F27" t="str">
        <f t="shared" si="3"/>
        <v>Pre2016</v>
      </c>
      <c r="H27" t="str">
        <f t="shared" si="1"/>
        <v>Pre2016</v>
      </c>
    </row>
    <row r="28" spans="1:8">
      <c r="A28" s="13" t="str">
        <f>MLIST!D28</f>
        <v>Solar Water Heater - New</v>
      </c>
      <c r="B28" t="str">
        <f t="shared" si="2"/>
        <v>Post2016</v>
      </c>
      <c r="C28" t="str">
        <f t="shared" si="3"/>
        <v>Post2016</v>
      </c>
      <c r="D28" t="str">
        <f t="shared" si="3"/>
        <v>Post2016</v>
      </c>
      <c r="E28" t="str">
        <f t="shared" si="3"/>
        <v>Post2016</v>
      </c>
      <c r="F28" t="str">
        <f t="shared" si="3"/>
        <v>Post2016</v>
      </c>
      <c r="H28" t="str">
        <f t="shared" si="1"/>
        <v>Post2016</v>
      </c>
    </row>
    <row r="29" spans="1:8">
      <c r="A29" s="13" t="str">
        <f>MLIST!D29</f>
        <v>Solar Water Heater - NR</v>
      </c>
      <c r="B29" t="str">
        <f t="shared" si="2"/>
        <v>Pre2016</v>
      </c>
      <c r="C29" t="str">
        <f t="shared" si="3"/>
        <v>Pre2016</v>
      </c>
      <c r="D29" t="str">
        <f t="shared" si="3"/>
        <v>Pre2016</v>
      </c>
      <c r="E29" t="str">
        <f t="shared" si="3"/>
        <v>Pre2016</v>
      </c>
      <c r="F29" t="str">
        <f t="shared" si="3"/>
        <v>Pre2016</v>
      </c>
      <c r="H29" t="str">
        <f t="shared" si="1"/>
        <v>Pre2016</v>
      </c>
    </row>
    <row r="30" spans="1:8">
      <c r="A30" s="13" t="str">
        <f>MLIST!D30</f>
        <v>Solar Water Heater - Retro</v>
      </c>
      <c r="B30" t="str">
        <f t="shared" si="2"/>
        <v>Pre2016</v>
      </c>
      <c r="C30" t="str">
        <f t="shared" si="3"/>
        <v>Pre2016</v>
      </c>
      <c r="D30" t="str">
        <f t="shared" si="3"/>
        <v>Pre2016</v>
      </c>
      <c r="E30" t="str">
        <f t="shared" si="3"/>
        <v>Pre2016</v>
      </c>
      <c r="F30" t="str">
        <f t="shared" si="3"/>
        <v>Pre2016</v>
      </c>
      <c r="H30" t="str">
        <f t="shared" si="1"/>
        <v>Pre2016</v>
      </c>
    </row>
    <row r="31" spans="1:8">
      <c r="A31" s="13">
        <f>MLIST!D31</f>
        <v>0</v>
      </c>
      <c r="B31" t="str">
        <f t="shared" si="2"/>
        <v>Pre2016</v>
      </c>
      <c r="C31" t="str">
        <f t="shared" si="3"/>
        <v>Pre2016</v>
      </c>
      <c r="D31" t="str">
        <f t="shared" si="3"/>
        <v>Pre2016</v>
      </c>
      <c r="E31" t="str">
        <f t="shared" si="3"/>
        <v>Pre2016</v>
      </c>
      <c r="F31" t="str">
        <f t="shared" si="3"/>
        <v>Pre2016</v>
      </c>
      <c r="H31" t="str">
        <f t="shared" si="1"/>
        <v>Pre2016</v>
      </c>
    </row>
    <row r="32" spans="1:8">
      <c r="A32" s="13">
        <f>MLIST!D32</f>
        <v>0</v>
      </c>
      <c r="B32" t="str">
        <f t="shared" si="2"/>
        <v>Pre2016</v>
      </c>
      <c r="C32" t="str">
        <f t="shared" si="3"/>
        <v>Pre2016</v>
      </c>
      <c r="D32" t="str">
        <f t="shared" si="3"/>
        <v>Pre2016</v>
      </c>
      <c r="E32" t="str">
        <f t="shared" si="3"/>
        <v>Pre2016</v>
      </c>
      <c r="F32" t="str">
        <f t="shared" si="3"/>
        <v>Pre2016</v>
      </c>
      <c r="H32" t="str">
        <f t="shared" si="1"/>
        <v>Pre2016</v>
      </c>
    </row>
    <row r="33" spans="1:8">
      <c r="A33" s="13" t="str">
        <f>MLIST!D33</f>
        <v>Electric Oven - New</v>
      </c>
      <c r="B33" t="str">
        <f t="shared" si="2"/>
        <v>Post2016</v>
      </c>
      <c r="C33" t="str">
        <f t="shared" si="3"/>
        <v>Post2016</v>
      </c>
      <c r="D33" t="str">
        <f t="shared" si="3"/>
        <v>Post2016</v>
      </c>
      <c r="E33" t="str">
        <f t="shared" si="3"/>
        <v>Post2016</v>
      </c>
      <c r="F33" t="str">
        <f t="shared" si="3"/>
        <v>Post2016</v>
      </c>
      <c r="H33" t="str">
        <f t="shared" si="1"/>
        <v>Post2016</v>
      </c>
    </row>
    <row r="34" spans="1:8">
      <c r="A34" s="13" t="str">
        <f>MLIST!D34</f>
        <v>Electric Oven - NR</v>
      </c>
      <c r="B34" t="str">
        <f t="shared" si="2"/>
        <v>Pre2016</v>
      </c>
      <c r="C34" t="str">
        <f t="shared" si="3"/>
        <v>Pre2016</v>
      </c>
      <c r="D34" t="str">
        <f t="shared" si="3"/>
        <v>Pre2016</v>
      </c>
      <c r="E34" t="str">
        <f t="shared" si="3"/>
        <v>Pre2016</v>
      </c>
      <c r="F34" t="str">
        <f t="shared" si="3"/>
        <v>Pre2016</v>
      </c>
      <c r="H34" t="str">
        <f t="shared" si="1"/>
        <v>Pre2016</v>
      </c>
    </row>
    <row r="35" spans="1:8">
      <c r="A35" s="13" t="str">
        <f>MLIST!D35</f>
        <v>Microwave - New</v>
      </c>
      <c r="B35" t="str">
        <f t="shared" si="2"/>
        <v>Post2016</v>
      </c>
      <c r="C35" t="str">
        <f t="shared" si="3"/>
        <v>Post2016</v>
      </c>
      <c r="D35" t="str">
        <f t="shared" si="3"/>
        <v>Post2016</v>
      </c>
      <c r="E35" t="str">
        <f t="shared" si="3"/>
        <v>Post2016</v>
      </c>
      <c r="F35" t="str">
        <f t="shared" si="3"/>
        <v>Post2016</v>
      </c>
      <c r="H35" t="str">
        <f t="shared" si="1"/>
        <v>Post2016</v>
      </c>
    </row>
    <row r="36" spans="1:8">
      <c r="A36" s="13" t="str">
        <f>MLIST!D36</f>
        <v>Microwave - NR</v>
      </c>
      <c r="B36" t="str">
        <f t="shared" si="2"/>
        <v>Pre2016</v>
      </c>
      <c r="C36" t="str">
        <f t="shared" si="3"/>
        <v>Pre2016</v>
      </c>
      <c r="D36" t="str">
        <f t="shared" si="3"/>
        <v>Pre2016</v>
      </c>
      <c r="E36" t="str">
        <f t="shared" si="3"/>
        <v>Pre2016</v>
      </c>
      <c r="F36" t="str">
        <f t="shared" si="3"/>
        <v>Pre2016</v>
      </c>
      <c r="H36" t="str">
        <f t="shared" si="1"/>
        <v>Pre2016</v>
      </c>
    </row>
    <row r="37" spans="1:8">
      <c r="A37" s="13" t="str">
        <f>MLIST!D37</f>
        <v>Monitor - New</v>
      </c>
      <c r="B37" t="str">
        <f t="shared" si="2"/>
        <v>Post2016</v>
      </c>
      <c r="C37" t="str">
        <f t="shared" ref="C37:F57" si="4">$H37</f>
        <v>Post2016</v>
      </c>
      <c r="D37" t="str">
        <f t="shared" si="4"/>
        <v>Post2016</v>
      </c>
      <c r="E37" t="str">
        <f t="shared" si="4"/>
        <v>Post2016</v>
      </c>
      <c r="F37" t="str">
        <f t="shared" si="4"/>
        <v>Post2016</v>
      </c>
      <c r="H37" t="str">
        <f t="shared" si="1"/>
        <v>Post2016</v>
      </c>
    </row>
    <row r="38" spans="1:8">
      <c r="A38" s="13" t="str">
        <f>MLIST!D38</f>
        <v>Monitor - NR</v>
      </c>
      <c r="B38" t="str">
        <f t="shared" si="2"/>
        <v>Pre2016</v>
      </c>
      <c r="C38" t="str">
        <f t="shared" si="4"/>
        <v>Pre2016</v>
      </c>
      <c r="D38" t="str">
        <f t="shared" si="4"/>
        <v>Pre2016</v>
      </c>
      <c r="E38" t="str">
        <f t="shared" si="4"/>
        <v>Pre2016</v>
      </c>
      <c r="F38" t="str">
        <f t="shared" si="4"/>
        <v>Pre2016</v>
      </c>
      <c r="H38" t="str">
        <f t="shared" si="1"/>
        <v>Pre2016</v>
      </c>
    </row>
    <row r="39" spans="1:8">
      <c r="A39" s="13" t="str">
        <f>MLIST!D39</f>
        <v>Desktop - New</v>
      </c>
      <c r="B39" t="str">
        <f t="shared" si="2"/>
        <v>Post2016</v>
      </c>
      <c r="C39" t="str">
        <f t="shared" si="4"/>
        <v>Post2016</v>
      </c>
      <c r="D39" t="str">
        <f t="shared" si="4"/>
        <v>Post2016</v>
      </c>
      <c r="E39" t="str">
        <f t="shared" si="4"/>
        <v>Post2016</v>
      </c>
      <c r="F39" t="str">
        <f t="shared" si="4"/>
        <v>Post2016</v>
      </c>
      <c r="H39" t="str">
        <f t="shared" si="1"/>
        <v>Post2016</v>
      </c>
    </row>
    <row r="40" spans="1:8">
      <c r="A40" s="13" t="str">
        <f>MLIST!D40</f>
        <v>Desktop - NR</v>
      </c>
      <c r="B40" t="str">
        <f t="shared" si="2"/>
        <v>Pre2016</v>
      </c>
      <c r="C40" t="str">
        <f t="shared" si="4"/>
        <v>Pre2016</v>
      </c>
      <c r="D40" t="str">
        <f t="shared" si="4"/>
        <v>Pre2016</v>
      </c>
      <c r="E40" t="str">
        <f t="shared" si="4"/>
        <v>Pre2016</v>
      </c>
      <c r="F40" t="str">
        <f t="shared" si="4"/>
        <v>Pre2016</v>
      </c>
      <c r="H40" t="str">
        <f t="shared" si="1"/>
        <v>Pre2016</v>
      </c>
    </row>
    <row r="41" spans="1:8">
      <c r="A41" s="13" t="str">
        <f>MLIST!D41</f>
        <v>Laptop - New</v>
      </c>
      <c r="B41" t="str">
        <f t="shared" si="2"/>
        <v>Post2016</v>
      </c>
      <c r="C41" t="str">
        <f t="shared" si="4"/>
        <v>Post2016</v>
      </c>
      <c r="D41" t="str">
        <f t="shared" si="4"/>
        <v>Post2016</v>
      </c>
      <c r="E41" t="str">
        <f t="shared" si="4"/>
        <v>Post2016</v>
      </c>
      <c r="F41" t="str">
        <f t="shared" si="4"/>
        <v>Post2016</v>
      </c>
      <c r="H41" t="str">
        <f t="shared" si="1"/>
        <v>Post2016</v>
      </c>
    </row>
    <row r="42" spans="1:8">
      <c r="A42" s="13" t="str">
        <f>MLIST!D42</f>
        <v>Laptop - NR</v>
      </c>
      <c r="B42" t="str">
        <f t="shared" si="2"/>
        <v>Pre2016</v>
      </c>
      <c r="C42" t="str">
        <f t="shared" si="4"/>
        <v>Pre2016</v>
      </c>
      <c r="D42" t="str">
        <f t="shared" si="4"/>
        <v>Pre2016</v>
      </c>
      <c r="E42" t="str">
        <f t="shared" si="4"/>
        <v>Pre2016</v>
      </c>
      <c r="F42" t="str">
        <f t="shared" si="4"/>
        <v>Pre2016</v>
      </c>
      <c r="H42" t="str">
        <f t="shared" si="1"/>
        <v>Pre2016</v>
      </c>
    </row>
    <row r="43" spans="1:8">
      <c r="A43" s="13" t="str">
        <f>MLIST!D43</f>
        <v>Computer - New</v>
      </c>
      <c r="B43" t="str">
        <f t="shared" si="2"/>
        <v>Post2016</v>
      </c>
      <c r="C43" t="str">
        <f t="shared" si="4"/>
        <v>Post2016</v>
      </c>
      <c r="D43" t="str">
        <f t="shared" si="4"/>
        <v>Post2016</v>
      </c>
      <c r="E43" t="str">
        <f t="shared" si="4"/>
        <v>Post2016</v>
      </c>
      <c r="F43" t="str">
        <f t="shared" si="4"/>
        <v>Post2016</v>
      </c>
      <c r="H43" t="str">
        <f t="shared" si="1"/>
        <v>Post2016</v>
      </c>
    </row>
    <row r="44" spans="1:8">
      <c r="A44" s="13" t="str">
        <f>MLIST!D44</f>
        <v>Computer - NR</v>
      </c>
      <c r="B44" t="str">
        <f t="shared" si="2"/>
        <v>Pre2016</v>
      </c>
      <c r="C44" t="str">
        <f t="shared" si="4"/>
        <v>Pre2016</v>
      </c>
      <c r="D44" t="str">
        <f t="shared" si="4"/>
        <v>Pre2016</v>
      </c>
      <c r="E44" t="str">
        <f t="shared" si="4"/>
        <v>Pre2016</v>
      </c>
      <c r="F44" t="str">
        <f t="shared" si="4"/>
        <v>Pre2016</v>
      </c>
      <c r="H44" t="str">
        <f t="shared" si="1"/>
        <v>Pre2016</v>
      </c>
    </row>
    <row r="45" spans="1:8">
      <c r="A45" s="13" t="str">
        <f>MLIST!D45</f>
        <v>ASHP - New</v>
      </c>
      <c r="B45" t="str">
        <f t="shared" si="2"/>
        <v>Post2016</v>
      </c>
      <c r="C45" t="str">
        <f t="shared" si="4"/>
        <v>Post2016</v>
      </c>
      <c r="D45" t="str">
        <f t="shared" si="4"/>
        <v>Post2016</v>
      </c>
      <c r="E45" t="str">
        <f t="shared" si="4"/>
        <v>Post2016</v>
      </c>
      <c r="F45" t="str">
        <f t="shared" si="4"/>
        <v>Post2016</v>
      </c>
      <c r="H45" t="str">
        <f t="shared" si="1"/>
        <v>Post2016</v>
      </c>
    </row>
    <row r="46" spans="1:8">
      <c r="A46" s="13" t="str">
        <f>MLIST!D46</f>
        <v>ASHP - NR</v>
      </c>
      <c r="B46" t="str">
        <f t="shared" si="2"/>
        <v>Pre2016</v>
      </c>
      <c r="C46" t="str">
        <f t="shared" si="4"/>
        <v>Pre2016</v>
      </c>
      <c r="D46" t="str">
        <f t="shared" si="4"/>
        <v>Pre2016</v>
      </c>
      <c r="E46" t="str">
        <f t="shared" si="4"/>
        <v>Pre2016</v>
      </c>
      <c r="F46" t="str">
        <f t="shared" si="4"/>
        <v>Pre2016</v>
      </c>
      <c r="H46" t="str">
        <f t="shared" si="1"/>
        <v>Pre2016</v>
      </c>
    </row>
    <row r="47" spans="1:8">
      <c r="A47" s="13" t="str">
        <f>MLIST!D47</f>
        <v>HP - Retro</v>
      </c>
      <c r="B47" t="str">
        <f t="shared" si="2"/>
        <v>Pre2016</v>
      </c>
      <c r="C47" t="str">
        <f t="shared" si="4"/>
        <v>Pre2016</v>
      </c>
      <c r="D47" t="str">
        <f t="shared" si="4"/>
        <v>Pre2016</v>
      </c>
      <c r="E47" t="str">
        <f t="shared" si="4"/>
        <v>Pre2016</v>
      </c>
      <c r="F47" t="str">
        <f t="shared" si="4"/>
        <v>Pre2016</v>
      </c>
      <c r="H47" t="str">
        <f t="shared" si="1"/>
        <v>Pre2016</v>
      </c>
    </row>
    <row r="48" spans="1:8">
      <c r="A48" s="13" t="str">
        <f>MLIST!D48</f>
        <v>DHP - New</v>
      </c>
      <c r="B48" t="str">
        <f t="shared" si="2"/>
        <v>Post2016</v>
      </c>
      <c r="C48" t="str">
        <f t="shared" si="4"/>
        <v>Post2016</v>
      </c>
      <c r="D48" t="str">
        <f t="shared" si="4"/>
        <v>Post2016</v>
      </c>
      <c r="E48" t="str">
        <f t="shared" si="4"/>
        <v>Post2016</v>
      </c>
      <c r="F48" t="str">
        <f t="shared" si="4"/>
        <v>Post2016</v>
      </c>
      <c r="H48" t="str">
        <f t="shared" si="1"/>
        <v>Post2016</v>
      </c>
    </row>
    <row r="49" spans="1:8">
      <c r="A49" s="13" t="str">
        <f>MLIST!D49</f>
        <v>DHP - NR</v>
      </c>
      <c r="B49" t="str">
        <f t="shared" ref="B49:B77" si="5">$H49</f>
        <v>Pre2016</v>
      </c>
      <c r="C49" t="str">
        <f t="shared" si="4"/>
        <v>Pre2016</v>
      </c>
      <c r="D49" t="str">
        <f t="shared" si="4"/>
        <v>Pre2016</v>
      </c>
      <c r="E49" t="str">
        <f t="shared" si="4"/>
        <v>Pre2016</v>
      </c>
      <c r="F49" t="str">
        <f t="shared" si="4"/>
        <v>Pre2016</v>
      </c>
      <c r="H49" t="str">
        <f t="shared" si="1"/>
        <v>Pre2016</v>
      </c>
    </row>
    <row r="50" spans="1:8">
      <c r="A50" s="13" t="str">
        <f>MLIST!D50</f>
        <v>DHP - Retro</v>
      </c>
      <c r="B50" t="str">
        <f t="shared" si="5"/>
        <v>Pre2016</v>
      </c>
      <c r="C50" t="str">
        <f t="shared" si="4"/>
        <v>Pre2016</v>
      </c>
      <c r="D50" t="str">
        <f t="shared" si="4"/>
        <v>Pre2016</v>
      </c>
      <c r="E50" t="str">
        <f t="shared" si="4"/>
        <v>Pre2016</v>
      </c>
      <c r="F50" t="str">
        <f t="shared" si="4"/>
        <v>Pre2016</v>
      </c>
      <c r="H50" t="str">
        <f t="shared" si="1"/>
        <v>Pre2016</v>
      </c>
    </row>
    <row r="51" spans="1:8">
      <c r="A51" s="13" t="str">
        <f>MLIST!D51</f>
        <v>Duct Sealing - New</v>
      </c>
      <c r="B51" t="str">
        <f t="shared" si="5"/>
        <v>Post2016</v>
      </c>
      <c r="C51" t="str">
        <f t="shared" si="4"/>
        <v>Post2016</v>
      </c>
      <c r="D51" t="str">
        <f t="shared" si="4"/>
        <v>Post2016</v>
      </c>
      <c r="E51" t="str">
        <f t="shared" si="4"/>
        <v>Post2016</v>
      </c>
      <c r="F51" t="str">
        <f t="shared" si="4"/>
        <v>Post2016</v>
      </c>
      <c r="H51" t="str">
        <f t="shared" si="1"/>
        <v>Post2016</v>
      </c>
    </row>
    <row r="52" spans="1:8">
      <c r="A52" s="13" t="str">
        <f>MLIST!D52</f>
        <v>Duct Sealing - Retro</v>
      </c>
      <c r="B52" t="str">
        <f t="shared" si="5"/>
        <v>Pre2016</v>
      </c>
      <c r="C52" t="str">
        <f t="shared" si="4"/>
        <v>Pre2016</v>
      </c>
      <c r="D52" t="str">
        <f t="shared" si="4"/>
        <v>Pre2016</v>
      </c>
      <c r="E52" t="str">
        <f t="shared" si="4"/>
        <v>Pre2016</v>
      </c>
      <c r="F52" t="str">
        <f t="shared" si="4"/>
        <v>Pre2016</v>
      </c>
      <c r="H52" t="str">
        <f t="shared" si="1"/>
        <v>Pre2016</v>
      </c>
    </row>
    <row r="53" spans="1:8">
      <c r="A53" s="13" t="str">
        <f>MLIST!D53</f>
        <v>WIFI enabled tstats - New</v>
      </c>
      <c r="B53" t="str">
        <f t="shared" si="5"/>
        <v>Post2016</v>
      </c>
      <c r="C53" t="str">
        <f t="shared" si="4"/>
        <v>Post2016</v>
      </c>
      <c r="D53" t="str">
        <f t="shared" si="4"/>
        <v>Post2016</v>
      </c>
      <c r="E53" t="str">
        <f t="shared" si="4"/>
        <v>Post2016</v>
      </c>
      <c r="F53" t="str">
        <f t="shared" si="4"/>
        <v>Post2016</v>
      </c>
      <c r="H53" t="str">
        <f t="shared" si="1"/>
        <v>Post2016</v>
      </c>
    </row>
    <row r="54" spans="1:8">
      <c r="A54" s="13" t="str">
        <f>MLIST!D54</f>
        <v>WIFI enabled tstats - Retro</v>
      </c>
      <c r="B54" t="str">
        <f t="shared" si="5"/>
        <v>Pre2016</v>
      </c>
      <c r="C54" t="str">
        <f t="shared" si="4"/>
        <v>Pre2016</v>
      </c>
      <c r="D54" t="str">
        <f t="shared" si="4"/>
        <v>Pre2016</v>
      </c>
      <c r="E54" t="str">
        <f t="shared" si="4"/>
        <v>Pre2016</v>
      </c>
      <c r="F54" t="str">
        <f t="shared" si="4"/>
        <v>Pre2016</v>
      </c>
      <c r="H54" t="str">
        <f t="shared" si="1"/>
        <v>Pre2016</v>
      </c>
    </row>
    <row r="55" spans="1:8">
      <c r="A55" s="13" t="str">
        <f>MLIST!D55</f>
        <v>Combo DHP/HPWH units - New</v>
      </c>
      <c r="B55" t="str">
        <f t="shared" si="5"/>
        <v>Post2016</v>
      </c>
      <c r="C55" t="str">
        <f t="shared" si="4"/>
        <v>Post2016</v>
      </c>
      <c r="D55" t="str">
        <f t="shared" si="4"/>
        <v>Post2016</v>
      </c>
      <c r="E55" t="str">
        <f t="shared" si="4"/>
        <v>Post2016</v>
      </c>
      <c r="F55" t="str">
        <f t="shared" si="4"/>
        <v>Post2016</v>
      </c>
      <c r="H55" t="str">
        <f t="shared" si="1"/>
        <v>Post2016</v>
      </c>
    </row>
    <row r="56" spans="1:8">
      <c r="A56" s="13" t="str">
        <f>MLIST!D56</f>
        <v>Combo DHP/HPWH units - NR</v>
      </c>
      <c r="B56" t="str">
        <f t="shared" si="5"/>
        <v>Pre2016</v>
      </c>
      <c r="C56" t="str">
        <f t="shared" si="4"/>
        <v>Pre2016</v>
      </c>
      <c r="D56" t="str">
        <f t="shared" si="4"/>
        <v>Pre2016</v>
      </c>
      <c r="E56" t="str">
        <f t="shared" si="4"/>
        <v>Pre2016</v>
      </c>
      <c r="F56" t="str">
        <f t="shared" si="4"/>
        <v>Pre2016</v>
      </c>
      <c r="H56" t="str">
        <f t="shared" si="1"/>
        <v>Pre2016</v>
      </c>
    </row>
    <row r="57" spans="1:8">
      <c r="A57" s="13" t="str">
        <f>MLIST!D57</f>
        <v>Combo DHP/HPWH units - Retro</v>
      </c>
      <c r="B57" t="str">
        <f t="shared" si="5"/>
        <v>Pre2016</v>
      </c>
      <c r="C57" t="str">
        <f t="shared" si="4"/>
        <v>Pre2016</v>
      </c>
      <c r="D57" t="str">
        <f t="shared" si="4"/>
        <v>Pre2016</v>
      </c>
      <c r="E57" t="str">
        <f t="shared" si="4"/>
        <v>Pre2016</v>
      </c>
      <c r="F57" t="str">
        <f t="shared" si="4"/>
        <v>Pre2016</v>
      </c>
      <c r="H57" t="str">
        <f t="shared" si="1"/>
        <v>Pre2016</v>
      </c>
    </row>
    <row r="58" spans="1:8">
      <c r="A58" s="13" t="str">
        <f>MLIST!D58</f>
        <v>Aerator - New</v>
      </c>
      <c r="B58" t="str">
        <f t="shared" si="5"/>
        <v>Post2016</v>
      </c>
      <c r="C58" t="str">
        <f t="shared" ref="C58:F77" si="6">$H58</f>
        <v>Post2016</v>
      </c>
      <c r="D58" t="str">
        <f t="shared" si="6"/>
        <v>Post2016</v>
      </c>
      <c r="E58" t="str">
        <f t="shared" si="6"/>
        <v>Post2016</v>
      </c>
      <c r="F58" t="str">
        <f t="shared" si="6"/>
        <v>Post2016</v>
      </c>
      <c r="H58" t="str">
        <f t="shared" si="1"/>
        <v>Post2016</v>
      </c>
    </row>
    <row r="59" spans="1:8">
      <c r="A59" s="13" t="str">
        <f>MLIST!D59</f>
        <v>Aerator - Retro</v>
      </c>
      <c r="B59" t="str">
        <f t="shared" si="5"/>
        <v>Pre2016</v>
      </c>
      <c r="C59" t="str">
        <f t="shared" si="6"/>
        <v>Pre2016</v>
      </c>
      <c r="D59" t="str">
        <f t="shared" si="6"/>
        <v>Pre2016</v>
      </c>
      <c r="E59" t="str">
        <f t="shared" si="6"/>
        <v>Pre2016</v>
      </c>
      <c r="F59" t="str">
        <f t="shared" si="6"/>
        <v>Pre2016</v>
      </c>
      <c r="H59" t="str">
        <f t="shared" si="1"/>
        <v>Pre2016</v>
      </c>
    </row>
    <row r="60" spans="1:8">
      <c r="A60" s="13" t="str">
        <f>MLIST!D60</f>
        <v>Behavior - Retro</v>
      </c>
      <c r="B60" t="str">
        <f t="shared" si="5"/>
        <v>Pre2016</v>
      </c>
      <c r="C60" t="str">
        <f t="shared" si="6"/>
        <v>Pre2016</v>
      </c>
      <c r="D60" t="str">
        <f t="shared" si="6"/>
        <v>Pre2016</v>
      </c>
      <c r="E60" t="str">
        <f t="shared" si="6"/>
        <v>Pre2016</v>
      </c>
      <c r="F60" t="str">
        <f t="shared" si="6"/>
        <v>Pre2016</v>
      </c>
      <c r="H60" t="str">
        <f t="shared" si="1"/>
        <v>Pre2016</v>
      </c>
    </row>
    <row r="61" spans="1:8">
      <c r="A61" s="13" t="str">
        <f>MLIST!D61</f>
        <v>Behavior - New</v>
      </c>
      <c r="B61" t="str">
        <f t="shared" si="5"/>
        <v>Post2016</v>
      </c>
      <c r="C61" t="str">
        <f t="shared" si="6"/>
        <v>Post2016</v>
      </c>
      <c r="D61" t="str">
        <f t="shared" si="6"/>
        <v>Post2016</v>
      </c>
      <c r="E61" t="str">
        <f t="shared" si="6"/>
        <v>Post2016</v>
      </c>
      <c r="F61" t="str">
        <f t="shared" si="6"/>
        <v>Post2016</v>
      </c>
      <c r="H61" t="str">
        <f t="shared" si="1"/>
        <v>Post2016</v>
      </c>
    </row>
    <row r="62" spans="1:8">
      <c r="A62" s="13">
        <f>MLIST!D62</f>
        <v>0</v>
      </c>
      <c r="B62" t="str">
        <f t="shared" si="5"/>
        <v>Pre2016</v>
      </c>
      <c r="C62" t="str">
        <f t="shared" si="6"/>
        <v>Pre2016</v>
      </c>
      <c r="D62" t="str">
        <f t="shared" si="6"/>
        <v>Pre2016</v>
      </c>
      <c r="E62" t="str">
        <f t="shared" si="6"/>
        <v>Pre2016</v>
      </c>
      <c r="F62" t="str">
        <f t="shared" si="6"/>
        <v>Pre2016</v>
      </c>
      <c r="H62" t="str">
        <f t="shared" si="1"/>
        <v>Pre2016</v>
      </c>
    </row>
    <row r="63" spans="1:8">
      <c r="A63" s="13" t="str">
        <f>MLIST!D63</f>
        <v>Heat Recovery Ventilation - New</v>
      </c>
      <c r="B63" t="str">
        <f t="shared" si="5"/>
        <v>Post2016</v>
      </c>
      <c r="C63" t="str">
        <f t="shared" si="6"/>
        <v>Post2016</v>
      </c>
      <c r="D63" t="str">
        <f t="shared" si="6"/>
        <v>Post2016</v>
      </c>
      <c r="E63" t="str">
        <f t="shared" si="6"/>
        <v>Post2016</v>
      </c>
      <c r="F63" t="str">
        <f t="shared" si="6"/>
        <v>Post2016</v>
      </c>
      <c r="H63" t="str">
        <f t="shared" si="1"/>
        <v>Post2016</v>
      </c>
    </row>
    <row r="64" spans="1:8">
      <c r="A64" s="13" t="str">
        <f>MLIST!D64</f>
        <v>GSHP - New</v>
      </c>
      <c r="B64" t="str">
        <f t="shared" si="5"/>
        <v>Post2016</v>
      </c>
      <c r="C64" t="str">
        <f t="shared" si="6"/>
        <v>Post2016</v>
      </c>
      <c r="D64" t="str">
        <f t="shared" si="6"/>
        <v>Post2016</v>
      </c>
      <c r="E64" t="str">
        <f t="shared" si="6"/>
        <v>Post2016</v>
      </c>
      <c r="F64" t="str">
        <f t="shared" si="6"/>
        <v>Post2016</v>
      </c>
      <c r="H64" t="str">
        <f t="shared" si="1"/>
        <v>Post2016</v>
      </c>
    </row>
    <row r="65" spans="1:8">
      <c r="A65" s="13" t="str">
        <f>MLIST!D65</f>
        <v>GSHP - NR</v>
      </c>
      <c r="B65" t="str">
        <f t="shared" si="5"/>
        <v>Pre2016</v>
      </c>
      <c r="C65" t="str">
        <f t="shared" si="6"/>
        <v>Pre2016</v>
      </c>
      <c r="D65" t="str">
        <f t="shared" si="6"/>
        <v>Pre2016</v>
      </c>
      <c r="E65" t="str">
        <f t="shared" si="6"/>
        <v>Pre2016</v>
      </c>
      <c r="F65" t="str">
        <f t="shared" si="6"/>
        <v>Pre2016</v>
      </c>
      <c r="H65" t="str">
        <f t="shared" si="1"/>
        <v>Pre2016</v>
      </c>
    </row>
    <row r="66" spans="1:8">
      <c r="A66" s="13">
        <f>MLIST!D66</f>
        <v>0</v>
      </c>
      <c r="B66" t="str">
        <f t="shared" si="5"/>
        <v>Pre2016</v>
      </c>
      <c r="C66" t="str">
        <f t="shared" si="6"/>
        <v>Pre2016</v>
      </c>
      <c r="D66" t="str">
        <f t="shared" si="6"/>
        <v>Pre2016</v>
      </c>
      <c r="E66" t="str">
        <f t="shared" si="6"/>
        <v>Pre2016</v>
      </c>
      <c r="F66" t="str">
        <f t="shared" si="6"/>
        <v>Pre2016</v>
      </c>
      <c r="H66" t="str">
        <f t="shared" si="1"/>
        <v>Pre2016</v>
      </c>
    </row>
    <row r="67" spans="1:8">
      <c r="A67" s="13" t="str">
        <f>MLIST!D67</f>
        <v>ECM for HVAC ventilation - New</v>
      </c>
      <c r="B67" t="str">
        <f t="shared" si="5"/>
        <v>Post2016</v>
      </c>
      <c r="C67" t="str">
        <f t="shared" si="6"/>
        <v>Post2016</v>
      </c>
      <c r="D67" t="str">
        <f t="shared" si="6"/>
        <v>Post2016</v>
      </c>
      <c r="E67" t="str">
        <f t="shared" si="6"/>
        <v>Post2016</v>
      </c>
      <c r="F67" t="str">
        <f t="shared" si="6"/>
        <v>Post2016</v>
      </c>
      <c r="H67" t="str">
        <f t="shared" si="1"/>
        <v>Post2016</v>
      </c>
    </row>
    <row r="68" spans="1:8">
      <c r="A68" s="13" t="str">
        <f>MLIST!D68</f>
        <v>ECM for HVAC ventilation - NR</v>
      </c>
      <c r="B68" t="str">
        <f t="shared" si="5"/>
        <v>Pre2016</v>
      </c>
      <c r="C68" t="str">
        <f t="shared" si="6"/>
        <v>Pre2016</v>
      </c>
      <c r="D68" t="str">
        <f t="shared" si="6"/>
        <v>Pre2016</v>
      </c>
      <c r="E68" t="str">
        <f t="shared" si="6"/>
        <v>Pre2016</v>
      </c>
      <c r="F68" t="str">
        <f t="shared" si="6"/>
        <v>Pre2016</v>
      </c>
      <c r="H68" t="str">
        <f t="shared" si="1"/>
        <v>Pre2016</v>
      </c>
    </row>
    <row r="69" spans="1:8">
      <c r="A69" s="13" t="str">
        <f>MLIST!D69</f>
        <v>Whole house/attic fan - New</v>
      </c>
      <c r="B69" t="str">
        <f t="shared" si="5"/>
        <v>Post2016</v>
      </c>
      <c r="C69" t="str">
        <f t="shared" si="6"/>
        <v>Post2016</v>
      </c>
      <c r="D69" t="str">
        <f t="shared" si="6"/>
        <v>Post2016</v>
      </c>
      <c r="E69" t="str">
        <f t="shared" si="6"/>
        <v>Post2016</v>
      </c>
      <c r="F69" t="str">
        <f t="shared" si="6"/>
        <v>Post2016</v>
      </c>
      <c r="H69" t="str">
        <f t="shared" si="1"/>
        <v>Post2016</v>
      </c>
    </row>
    <row r="70" spans="1:8">
      <c r="A70" s="13" t="str">
        <f>MLIST!D70</f>
        <v>Whole house/attic fan - Retro</v>
      </c>
      <c r="B70" t="str">
        <f t="shared" si="5"/>
        <v>Pre2016</v>
      </c>
      <c r="C70" t="str">
        <f t="shared" si="6"/>
        <v>Pre2016</v>
      </c>
      <c r="D70" t="str">
        <f t="shared" si="6"/>
        <v>Pre2016</v>
      </c>
      <c r="E70" t="str">
        <f t="shared" si="6"/>
        <v>Pre2016</v>
      </c>
      <c r="F70" t="str">
        <f t="shared" si="6"/>
        <v>Pre2016</v>
      </c>
      <c r="H70" t="str">
        <f t="shared" si="1"/>
        <v>Pre2016</v>
      </c>
    </row>
    <row r="71" spans="1:8">
      <c r="A71" s="13" t="str">
        <f>MLIST!D71</f>
        <v>WH Pipe insulation - Retro</v>
      </c>
      <c r="B71" t="str">
        <f t="shared" si="5"/>
        <v>Pre2016</v>
      </c>
      <c r="C71" t="str">
        <f t="shared" si="6"/>
        <v>Pre2016</v>
      </c>
      <c r="D71" t="str">
        <f t="shared" si="6"/>
        <v>Pre2016</v>
      </c>
      <c r="E71" t="str">
        <f t="shared" si="6"/>
        <v>Pre2016</v>
      </c>
      <c r="F71" t="str">
        <f t="shared" si="6"/>
        <v>Pre2016</v>
      </c>
      <c r="H71" t="str">
        <f t="shared" si="1"/>
        <v>Pre2016</v>
      </c>
    </row>
    <row r="72" spans="1:8">
      <c r="A72" s="13" t="str">
        <f>MLIST!D72</f>
        <v>DHP Ducted - NR</v>
      </c>
      <c r="B72" t="str">
        <f t="shared" si="5"/>
        <v>Pre2016</v>
      </c>
      <c r="C72" t="str">
        <f t="shared" si="6"/>
        <v>Pre2016</v>
      </c>
      <c r="D72" t="str">
        <f t="shared" si="6"/>
        <v>Pre2016</v>
      </c>
      <c r="E72" t="str">
        <f t="shared" si="6"/>
        <v>Pre2016</v>
      </c>
      <c r="F72" t="str">
        <f t="shared" si="6"/>
        <v>Pre2016</v>
      </c>
      <c r="H72" t="str">
        <f t="shared" si="1"/>
        <v>Pre2016</v>
      </c>
    </row>
    <row r="73" spans="1:8">
      <c r="A73" s="13" t="str">
        <f>MLIST!D73</f>
        <v>Advanced Power Strips - New</v>
      </c>
      <c r="B73" t="str">
        <f t="shared" si="5"/>
        <v>Post2016</v>
      </c>
      <c r="C73" t="str">
        <f t="shared" si="6"/>
        <v>Post2016</v>
      </c>
      <c r="D73" t="str">
        <f t="shared" si="6"/>
        <v>Post2016</v>
      </c>
      <c r="E73" t="str">
        <f t="shared" si="6"/>
        <v>Post2016</v>
      </c>
      <c r="F73" t="str">
        <f t="shared" si="6"/>
        <v>Post2016</v>
      </c>
      <c r="H73" t="str">
        <f t="shared" si="1"/>
        <v>Post2016</v>
      </c>
    </row>
    <row r="74" spans="1:8">
      <c r="A74" s="13" t="str">
        <f>MLIST!D74</f>
        <v>Advanced Power Strips - Retro</v>
      </c>
      <c r="B74" t="str">
        <f t="shared" si="5"/>
        <v>Pre2016</v>
      </c>
      <c r="C74" t="str">
        <f t="shared" si="6"/>
        <v>Pre2016</v>
      </c>
      <c r="D74" t="str">
        <f t="shared" si="6"/>
        <v>Pre2016</v>
      </c>
      <c r="E74" t="str">
        <f t="shared" si="6"/>
        <v>Pre2016</v>
      </c>
      <c r="F74" t="str">
        <f t="shared" si="6"/>
        <v>Pre2016</v>
      </c>
      <c r="H74" t="str">
        <f t="shared" ref="H74:H77" si="7">IF(RIGHT(A74,3)="New","Post2016","Pre2016")</f>
        <v>Pre2016</v>
      </c>
    </row>
    <row r="75" spans="1:8">
      <c r="A75" s="13" t="str">
        <f>MLIST!D75</f>
        <v>Controls Commissioning and Sizing - New</v>
      </c>
    </row>
    <row r="76" spans="1:8">
      <c r="A76" s="13" t="str">
        <f>MLIST!D76</f>
        <v>Controls Commissioning and Sizing - NR</v>
      </c>
    </row>
    <row r="77" spans="1:8">
      <c r="A77" s="13" t="str">
        <f>MLIST!D77</f>
        <v>ResWx - Retro</v>
      </c>
      <c r="B77" t="str">
        <f t="shared" si="5"/>
        <v>Pre2016</v>
      </c>
      <c r="C77" t="str">
        <f t="shared" si="6"/>
        <v>Pre2016</v>
      </c>
      <c r="D77" t="str">
        <f t="shared" si="6"/>
        <v>Pre2016</v>
      </c>
      <c r="E77" t="str">
        <f t="shared" si="6"/>
        <v>Pre2016</v>
      </c>
      <c r="F77" t="str">
        <f t="shared" si="6"/>
        <v>Pre2016</v>
      </c>
      <c r="H77" t="str">
        <f t="shared" si="7"/>
        <v>Pre2016</v>
      </c>
    </row>
    <row r="78" spans="1:8">
      <c r="A78" s="13"/>
    </row>
    <row r="79" spans="1:8">
      <c r="A79" s="13"/>
    </row>
    <row r="80" spans="1:8">
      <c r="A80" s="13"/>
    </row>
    <row r="81" spans="1:1">
      <c r="A81" s="13"/>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sheetPr codeName="Sheet4" enableFormatConditionsCalculation="0">
    <tabColor rgb="FFFF0000"/>
  </sheetPr>
  <dimension ref="A1:J104"/>
  <sheetViews>
    <sheetView zoomScale="115" zoomScaleNormal="115" workbookViewId="0">
      <pane xSplit="2" ySplit="8" topLeftCell="H42" activePane="bottomRight" state="frozen"/>
      <selection activeCell="A47" sqref="A47:IV49"/>
      <selection pane="topRight" activeCell="A47" sqref="A47:IV49"/>
      <selection pane="bottomLeft" activeCell="A47" sqref="A47:IV49"/>
      <selection pane="bottomRight" activeCell="I53" sqref="I53"/>
    </sheetView>
  </sheetViews>
  <sheetFormatPr defaultRowHeight="12.75"/>
  <cols>
    <col min="1" max="1" width="13.85546875" customWidth="1"/>
    <col min="2" max="2" width="43.85546875" customWidth="1"/>
    <col min="3" max="3" width="12.28515625" bestFit="1" customWidth="1"/>
    <col min="4" max="4" width="19.42578125" bestFit="1" customWidth="1"/>
    <col min="5" max="5" width="19.85546875" bestFit="1" customWidth="1"/>
    <col min="6" max="6" width="12.42578125" bestFit="1" customWidth="1"/>
    <col min="7" max="7" width="17" bestFit="1" customWidth="1"/>
    <col min="8" max="8" width="35.28515625" customWidth="1"/>
  </cols>
  <sheetData>
    <row r="1" spans="1:10">
      <c r="A1" t="s">
        <v>99</v>
      </c>
      <c r="B1" t="s">
        <v>32</v>
      </c>
    </row>
    <row r="2" spans="1:10">
      <c r="A2" s="1">
        <f>COLUMN()</f>
        <v>1</v>
      </c>
      <c r="B2" s="1">
        <f>COLUMN()</f>
        <v>2</v>
      </c>
      <c r="C2" s="1">
        <f>COLUMN()</f>
        <v>3</v>
      </c>
      <c r="D2" s="1">
        <f>COLUMN()</f>
        <v>4</v>
      </c>
      <c r="E2" s="1">
        <f>COLUMN()</f>
        <v>5</v>
      </c>
      <c r="F2" s="1">
        <f>COLUMN()</f>
        <v>6</v>
      </c>
      <c r="G2" s="1">
        <f>COLUMN()</f>
        <v>7</v>
      </c>
    </row>
    <row r="6" spans="1:10">
      <c r="C6" s="30"/>
      <c r="D6" s="30"/>
      <c r="E6" s="30"/>
      <c r="F6" s="30"/>
      <c r="G6" s="30"/>
    </row>
    <row r="8" spans="1:10">
      <c r="A8" s="2" t="s">
        <v>39</v>
      </c>
      <c r="B8" s="2" t="s">
        <v>81</v>
      </c>
      <c r="C8" s="3" t="s">
        <v>135</v>
      </c>
      <c r="D8" s="3" t="s">
        <v>136</v>
      </c>
      <c r="E8" s="3" t="s">
        <v>137</v>
      </c>
      <c r="F8" s="3" t="s">
        <v>138</v>
      </c>
      <c r="G8" s="3" t="s">
        <v>33</v>
      </c>
      <c r="H8" s="3" t="s">
        <v>29</v>
      </c>
      <c r="I8" s="4" t="s">
        <v>158</v>
      </c>
      <c r="J8" s="4" t="s">
        <v>159</v>
      </c>
    </row>
    <row r="9" spans="1:10">
      <c r="B9" t="str">
        <f>MLIST!D9</f>
        <v>Lighting - New</v>
      </c>
      <c r="C9" s="30">
        <f>IF(RIGHT($B9,2)="NR",1/$I9,IF(RIGHT($B9,2)="ew",100%,""))</f>
        <v>1</v>
      </c>
      <c r="D9" s="30">
        <f t="shared" ref="D9:G9" si="0">IF(RIGHT($B9,2)="NR",1/$I9,IF(RIGHT($B9,2)="ew",100%,""))</f>
        <v>1</v>
      </c>
      <c r="E9" s="30">
        <f t="shared" si="0"/>
        <v>1</v>
      </c>
      <c r="F9" s="30">
        <f t="shared" si="0"/>
        <v>1</v>
      </c>
      <c r="G9" s="30">
        <f t="shared" si="0"/>
        <v>1</v>
      </c>
    </row>
    <row r="10" spans="1:10">
      <c r="A10" s="30"/>
      <c r="B10" t="str">
        <f>MLIST!D10</f>
        <v>Lighting - NR</v>
      </c>
      <c r="C10" s="30">
        <f t="shared" ref="C10:G73" si="1">IF(RIGHT($B10,2)="NR",1/$I10,IF(RIGHT($B10,2)="ew",100%,""))</f>
        <v>0.125</v>
      </c>
      <c r="D10" s="30">
        <f t="shared" si="1"/>
        <v>0.125</v>
      </c>
      <c r="E10" s="30">
        <f t="shared" si="1"/>
        <v>0.125</v>
      </c>
      <c r="F10" s="30">
        <f t="shared" si="1"/>
        <v>0.125</v>
      </c>
      <c r="G10" s="30">
        <f t="shared" si="1"/>
        <v>0.125</v>
      </c>
      <c r="I10">
        <v>8</v>
      </c>
      <c r="J10">
        <v>12</v>
      </c>
    </row>
    <row r="11" spans="1:10">
      <c r="B11" t="str">
        <f>MLIST!D11</f>
        <v>Lighting - PPA</v>
      </c>
      <c r="C11" s="30" t="str">
        <f t="shared" si="1"/>
        <v/>
      </c>
      <c r="D11" s="30" t="str">
        <f t="shared" si="1"/>
        <v/>
      </c>
      <c r="E11" s="30" t="str">
        <f t="shared" si="1"/>
        <v/>
      </c>
      <c r="F11" s="30" t="str">
        <f t="shared" si="1"/>
        <v/>
      </c>
      <c r="G11" s="30" t="str">
        <f t="shared" si="1"/>
        <v/>
      </c>
    </row>
    <row r="12" spans="1:10">
      <c r="B12" t="str">
        <f>MLIST!D12</f>
        <v>Dishwasher - New</v>
      </c>
      <c r="C12" s="30">
        <f t="shared" si="1"/>
        <v>1</v>
      </c>
      <c r="D12" s="30">
        <f t="shared" si="1"/>
        <v>1</v>
      </c>
      <c r="E12" s="30">
        <f t="shared" si="1"/>
        <v>1</v>
      </c>
      <c r="F12" s="30">
        <f t="shared" si="1"/>
        <v>1</v>
      </c>
      <c r="G12" s="30">
        <f t="shared" si="1"/>
        <v>1</v>
      </c>
      <c r="I12">
        <v>15.4</v>
      </c>
      <c r="J12">
        <v>15.4</v>
      </c>
    </row>
    <row r="13" spans="1:10">
      <c r="B13" t="str">
        <f>MLIST!D13</f>
        <v>Dishwasher - NR</v>
      </c>
      <c r="C13" s="30">
        <f t="shared" si="1"/>
        <v>6.4935064935064929E-2</v>
      </c>
      <c r="D13" s="30">
        <f t="shared" si="1"/>
        <v>6.4935064935064929E-2</v>
      </c>
      <c r="E13" s="30">
        <f t="shared" si="1"/>
        <v>6.4935064935064929E-2</v>
      </c>
      <c r="F13" s="30">
        <f t="shared" si="1"/>
        <v>6.4935064935064929E-2</v>
      </c>
      <c r="G13" s="30">
        <f t="shared" si="1"/>
        <v>6.4935064935064929E-2</v>
      </c>
      <c r="I13">
        <v>15.4</v>
      </c>
      <c r="J13">
        <v>15.4</v>
      </c>
    </row>
    <row r="14" spans="1:10">
      <c r="B14" t="str">
        <f>MLIST!D14</f>
        <v>Clothes Washer - New</v>
      </c>
      <c r="C14" s="30">
        <f t="shared" si="1"/>
        <v>1</v>
      </c>
      <c r="D14" s="30">
        <f t="shared" si="1"/>
        <v>1</v>
      </c>
      <c r="E14" s="30">
        <f t="shared" si="1"/>
        <v>1</v>
      </c>
      <c r="F14" s="30">
        <f t="shared" si="1"/>
        <v>1</v>
      </c>
      <c r="G14" s="30">
        <f t="shared" si="1"/>
        <v>1</v>
      </c>
      <c r="I14">
        <v>14</v>
      </c>
      <c r="J14">
        <v>14</v>
      </c>
    </row>
    <row r="15" spans="1:10">
      <c r="B15" t="str">
        <f>MLIST!D15</f>
        <v>Clothes Washer - NR</v>
      </c>
      <c r="C15" s="30">
        <f t="shared" si="1"/>
        <v>7.1428571428571425E-2</v>
      </c>
      <c r="D15" s="30">
        <f t="shared" si="1"/>
        <v>7.1428571428571425E-2</v>
      </c>
      <c r="E15" s="30">
        <f t="shared" si="1"/>
        <v>7.1428571428571425E-2</v>
      </c>
      <c r="F15" s="30">
        <f t="shared" si="1"/>
        <v>7.1428571428571425E-2</v>
      </c>
      <c r="G15" s="30">
        <f t="shared" si="1"/>
        <v>7.1428571428571425E-2</v>
      </c>
      <c r="I15">
        <v>14</v>
      </c>
      <c r="J15">
        <v>14</v>
      </c>
    </row>
    <row r="16" spans="1:10">
      <c r="B16" t="str">
        <f>MLIST!D16</f>
        <v>WasteWater Heat Recovery - New</v>
      </c>
      <c r="C16" s="30">
        <f t="shared" si="1"/>
        <v>1</v>
      </c>
      <c r="D16" s="30">
        <f t="shared" si="1"/>
        <v>1</v>
      </c>
      <c r="E16" s="30">
        <f t="shared" si="1"/>
        <v>1</v>
      </c>
      <c r="F16" s="30">
        <f t="shared" si="1"/>
        <v>1</v>
      </c>
      <c r="G16" s="30">
        <f t="shared" si="1"/>
        <v>1</v>
      </c>
      <c r="I16">
        <v>20</v>
      </c>
      <c r="J16">
        <v>20</v>
      </c>
    </row>
    <row r="17" spans="2:10">
      <c r="B17" t="str">
        <f>MLIST!D17</f>
        <v>Showerheads - New</v>
      </c>
      <c r="C17" s="30">
        <f t="shared" si="1"/>
        <v>1</v>
      </c>
      <c r="D17" s="30">
        <f t="shared" si="1"/>
        <v>1</v>
      </c>
      <c r="E17" s="30">
        <f t="shared" si="1"/>
        <v>1</v>
      </c>
      <c r="F17" s="30">
        <f t="shared" si="1"/>
        <v>1</v>
      </c>
      <c r="G17" s="30">
        <f t="shared" si="1"/>
        <v>1</v>
      </c>
    </row>
    <row r="18" spans="2:10">
      <c r="B18" t="str">
        <f>MLIST!D18</f>
        <v>Showerheads - Retro</v>
      </c>
      <c r="C18" s="30" t="str">
        <f t="shared" si="1"/>
        <v/>
      </c>
      <c r="D18" s="30" t="str">
        <f t="shared" si="1"/>
        <v/>
      </c>
      <c r="E18" s="30" t="str">
        <f t="shared" si="1"/>
        <v/>
      </c>
      <c r="F18" s="30" t="str">
        <f t="shared" si="1"/>
        <v/>
      </c>
      <c r="G18" s="30" t="str">
        <f t="shared" si="1"/>
        <v/>
      </c>
    </row>
    <row r="19" spans="2:10">
      <c r="B19" t="str">
        <f>MLIST!D19</f>
        <v>HPWH - New</v>
      </c>
      <c r="C19" s="30">
        <f t="shared" si="1"/>
        <v>1</v>
      </c>
      <c r="D19" s="30">
        <f t="shared" si="1"/>
        <v>1</v>
      </c>
      <c r="E19" s="30">
        <f t="shared" si="1"/>
        <v>1</v>
      </c>
      <c r="F19" s="30">
        <f t="shared" si="1"/>
        <v>1</v>
      </c>
      <c r="G19" s="30">
        <f t="shared" si="1"/>
        <v>1</v>
      </c>
      <c r="I19">
        <v>13</v>
      </c>
      <c r="J19">
        <v>13</v>
      </c>
    </row>
    <row r="20" spans="2:10">
      <c r="B20" t="str">
        <f>MLIST!D20</f>
        <v>HPWH - NR</v>
      </c>
      <c r="C20" s="30">
        <f t="shared" si="1"/>
        <v>7.6923076923076927E-2</v>
      </c>
      <c r="D20" s="30">
        <f t="shared" si="1"/>
        <v>7.6923076923076927E-2</v>
      </c>
      <c r="E20" s="30">
        <f t="shared" si="1"/>
        <v>7.6923076923076927E-2</v>
      </c>
      <c r="F20" s="30">
        <f t="shared" si="1"/>
        <v>7.6923076923076927E-2</v>
      </c>
      <c r="G20" s="30">
        <f t="shared" si="1"/>
        <v>7.6923076923076927E-2</v>
      </c>
      <c r="I20">
        <v>13</v>
      </c>
      <c r="J20">
        <v>13</v>
      </c>
    </row>
    <row r="21" spans="2:10">
      <c r="B21" t="str">
        <f>MLIST!D21</f>
        <v>EV Supply Equip - NR</v>
      </c>
      <c r="C21" s="30">
        <f t="shared" si="1"/>
        <v>0.1</v>
      </c>
      <c r="D21" s="30">
        <f t="shared" si="1"/>
        <v>0.1</v>
      </c>
      <c r="E21" s="30">
        <f t="shared" si="1"/>
        <v>0.1</v>
      </c>
      <c r="F21" s="30">
        <f t="shared" si="1"/>
        <v>0.1</v>
      </c>
      <c r="G21" s="30">
        <f t="shared" si="1"/>
        <v>0.1</v>
      </c>
      <c r="I21">
        <v>10</v>
      </c>
      <c r="J21">
        <v>10</v>
      </c>
    </row>
    <row r="22" spans="2:10">
      <c r="B22" t="str">
        <f>MLIST!D22</f>
        <v>Clothes Dryer - New</v>
      </c>
      <c r="C22" s="30">
        <f t="shared" si="1"/>
        <v>1</v>
      </c>
      <c r="D22" s="30">
        <f t="shared" si="1"/>
        <v>1</v>
      </c>
      <c r="E22" s="30">
        <f t="shared" si="1"/>
        <v>1</v>
      </c>
      <c r="F22" s="30">
        <f t="shared" si="1"/>
        <v>1</v>
      </c>
      <c r="G22" s="30">
        <f t="shared" si="1"/>
        <v>1</v>
      </c>
      <c r="I22">
        <v>16</v>
      </c>
      <c r="J22">
        <v>16</v>
      </c>
    </row>
    <row r="23" spans="2:10">
      <c r="B23" t="str">
        <f>MLIST!D23</f>
        <v>Clothes Dryer - NR</v>
      </c>
      <c r="C23" s="30">
        <f t="shared" si="1"/>
        <v>6.25E-2</v>
      </c>
      <c r="D23" s="30">
        <f t="shared" si="1"/>
        <v>6.25E-2</v>
      </c>
      <c r="E23" s="30">
        <f t="shared" si="1"/>
        <v>6.25E-2</v>
      </c>
      <c r="F23" s="30">
        <f t="shared" si="1"/>
        <v>6.25E-2</v>
      </c>
      <c r="G23" s="30">
        <f t="shared" si="1"/>
        <v>6.25E-2</v>
      </c>
      <c r="I23">
        <v>16</v>
      </c>
      <c r="J23">
        <v>16</v>
      </c>
    </row>
    <row r="24" spans="2:10">
      <c r="B24" t="str">
        <f>MLIST!D24</f>
        <v>Refrigerator - New</v>
      </c>
      <c r="C24" s="30">
        <f t="shared" si="1"/>
        <v>1</v>
      </c>
      <c r="D24" s="30">
        <f t="shared" si="1"/>
        <v>1</v>
      </c>
      <c r="E24" s="30">
        <f t="shared" si="1"/>
        <v>1</v>
      </c>
      <c r="F24" s="30">
        <f t="shared" si="1"/>
        <v>1</v>
      </c>
      <c r="G24" s="30">
        <f t="shared" si="1"/>
        <v>1</v>
      </c>
      <c r="I24">
        <v>15.2</v>
      </c>
      <c r="J24">
        <v>15.2</v>
      </c>
    </row>
    <row r="25" spans="2:10">
      <c r="B25" t="str">
        <f>MLIST!D25</f>
        <v>Refrigerator - NR</v>
      </c>
      <c r="C25" s="30">
        <f t="shared" si="1"/>
        <v>6.5789473684210523E-2</v>
      </c>
      <c r="D25" s="30">
        <f t="shared" si="1"/>
        <v>6.5789473684210523E-2</v>
      </c>
      <c r="E25" s="30">
        <f t="shared" si="1"/>
        <v>6.5789473684210523E-2</v>
      </c>
      <c r="F25" s="30">
        <f t="shared" si="1"/>
        <v>6.5789473684210523E-2</v>
      </c>
      <c r="G25" s="30">
        <f t="shared" si="1"/>
        <v>6.5789473684210523E-2</v>
      </c>
      <c r="I25">
        <v>15.2</v>
      </c>
      <c r="J25">
        <v>15.2</v>
      </c>
    </row>
    <row r="26" spans="2:10">
      <c r="B26" t="str">
        <f>MLIST!D26</f>
        <v>Freezer - New</v>
      </c>
      <c r="C26" s="30">
        <f t="shared" si="1"/>
        <v>1</v>
      </c>
      <c r="D26" s="30">
        <f t="shared" si="1"/>
        <v>1</v>
      </c>
      <c r="E26" s="30">
        <f t="shared" si="1"/>
        <v>1</v>
      </c>
      <c r="F26" s="30">
        <f t="shared" si="1"/>
        <v>1</v>
      </c>
      <c r="G26" s="30">
        <f t="shared" si="1"/>
        <v>1</v>
      </c>
      <c r="I26">
        <v>21.7</v>
      </c>
      <c r="J26">
        <v>21.7</v>
      </c>
    </row>
    <row r="27" spans="2:10">
      <c r="B27" t="str">
        <f>MLIST!D27</f>
        <v>Freezer - NR</v>
      </c>
      <c r="C27" s="30">
        <f t="shared" si="1"/>
        <v>4.6082949308755762E-2</v>
      </c>
      <c r="D27" s="30">
        <f t="shared" si="1"/>
        <v>4.6082949308755762E-2</v>
      </c>
      <c r="E27" s="30">
        <f t="shared" si="1"/>
        <v>4.6082949308755762E-2</v>
      </c>
      <c r="F27" s="30">
        <f t="shared" si="1"/>
        <v>4.6082949308755762E-2</v>
      </c>
      <c r="G27" s="30">
        <f t="shared" si="1"/>
        <v>4.6082949308755762E-2</v>
      </c>
      <c r="I27">
        <v>21.7</v>
      </c>
      <c r="J27">
        <v>21.7</v>
      </c>
    </row>
    <row r="28" spans="2:10">
      <c r="B28" t="str">
        <f>MLIST!D28</f>
        <v>Solar Water Heater - New</v>
      </c>
      <c r="C28" s="30">
        <f t="shared" si="1"/>
        <v>1</v>
      </c>
      <c r="D28" s="30">
        <f t="shared" si="1"/>
        <v>1</v>
      </c>
      <c r="E28" s="30">
        <f t="shared" si="1"/>
        <v>1</v>
      </c>
      <c r="F28" s="30">
        <f t="shared" si="1"/>
        <v>1</v>
      </c>
      <c r="G28" s="30">
        <f t="shared" si="1"/>
        <v>1</v>
      </c>
    </row>
    <row r="29" spans="2:10">
      <c r="B29" t="str">
        <f>MLIST!D29</f>
        <v>Solar Water Heater - NR</v>
      </c>
      <c r="C29" s="30" t="e">
        <f t="shared" si="1"/>
        <v>#DIV/0!</v>
      </c>
      <c r="D29" s="30" t="e">
        <f t="shared" si="1"/>
        <v>#DIV/0!</v>
      </c>
      <c r="E29" s="30" t="e">
        <f t="shared" si="1"/>
        <v>#DIV/0!</v>
      </c>
      <c r="F29" s="30" t="e">
        <f t="shared" si="1"/>
        <v>#DIV/0!</v>
      </c>
      <c r="G29" s="30" t="e">
        <f t="shared" si="1"/>
        <v>#DIV/0!</v>
      </c>
    </row>
    <row r="30" spans="2:10">
      <c r="B30" t="str">
        <f>MLIST!D30</f>
        <v>Solar Water Heater - Retro</v>
      </c>
      <c r="C30" s="30" t="str">
        <f t="shared" si="1"/>
        <v/>
      </c>
      <c r="D30" s="30" t="str">
        <f t="shared" si="1"/>
        <v/>
      </c>
      <c r="E30" s="30" t="str">
        <f t="shared" si="1"/>
        <v/>
      </c>
      <c r="F30" s="30" t="str">
        <f t="shared" si="1"/>
        <v/>
      </c>
      <c r="G30" s="30" t="str">
        <f t="shared" si="1"/>
        <v/>
      </c>
    </row>
    <row r="31" spans="2:10">
      <c r="B31">
        <f>MLIST!D31</f>
        <v>0</v>
      </c>
      <c r="C31" s="30" t="str">
        <f t="shared" si="1"/>
        <v/>
      </c>
      <c r="D31" s="30" t="str">
        <f t="shared" si="1"/>
        <v/>
      </c>
      <c r="E31" s="30" t="str">
        <f t="shared" si="1"/>
        <v/>
      </c>
      <c r="F31" s="30" t="str">
        <f t="shared" si="1"/>
        <v/>
      </c>
      <c r="G31" s="30" t="str">
        <f t="shared" si="1"/>
        <v/>
      </c>
    </row>
    <row r="32" spans="2:10">
      <c r="B32">
        <f>MLIST!D32</f>
        <v>0</v>
      </c>
      <c r="C32" s="30" t="str">
        <f t="shared" si="1"/>
        <v/>
      </c>
      <c r="D32" s="30" t="str">
        <f t="shared" si="1"/>
        <v/>
      </c>
      <c r="E32" s="30" t="str">
        <f t="shared" si="1"/>
        <v/>
      </c>
      <c r="F32" s="30" t="str">
        <f t="shared" si="1"/>
        <v/>
      </c>
      <c r="G32" s="30" t="str">
        <f t="shared" si="1"/>
        <v/>
      </c>
    </row>
    <row r="33" spans="2:10">
      <c r="B33" t="str">
        <f>MLIST!D33</f>
        <v>Electric Oven - New</v>
      </c>
      <c r="C33" s="30">
        <f t="shared" si="1"/>
        <v>1</v>
      </c>
      <c r="D33" s="30">
        <f t="shared" si="1"/>
        <v>1</v>
      </c>
      <c r="E33" s="30">
        <f t="shared" si="1"/>
        <v>1</v>
      </c>
      <c r="F33" s="30">
        <f t="shared" si="1"/>
        <v>1</v>
      </c>
      <c r="G33" s="30">
        <f t="shared" si="1"/>
        <v>1</v>
      </c>
    </row>
    <row r="34" spans="2:10">
      <c r="B34" t="str">
        <f>MLIST!D34</f>
        <v>Electric Oven - NR</v>
      </c>
      <c r="C34" s="30">
        <f t="shared" si="1"/>
        <v>0.05</v>
      </c>
      <c r="D34" s="30">
        <f t="shared" si="1"/>
        <v>0.05</v>
      </c>
      <c r="E34" s="30">
        <f t="shared" si="1"/>
        <v>0.05</v>
      </c>
      <c r="F34" s="30">
        <f t="shared" si="1"/>
        <v>0.05</v>
      </c>
      <c r="G34" s="30">
        <f t="shared" si="1"/>
        <v>0.05</v>
      </c>
      <c r="I34">
        <v>20</v>
      </c>
    </row>
    <row r="35" spans="2:10">
      <c r="B35" t="str">
        <f>MLIST!D35</f>
        <v>Microwave - New</v>
      </c>
      <c r="C35" s="30">
        <f t="shared" si="1"/>
        <v>1</v>
      </c>
      <c r="D35" s="30">
        <f t="shared" si="1"/>
        <v>1</v>
      </c>
      <c r="E35" s="30">
        <f t="shared" si="1"/>
        <v>1</v>
      </c>
      <c r="F35" s="30">
        <f t="shared" si="1"/>
        <v>1</v>
      </c>
      <c r="G35" s="30">
        <f t="shared" si="1"/>
        <v>1</v>
      </c>
    </row>
    <row r="36" spans="2:10">
      <c r="B36" t="str">
        <f>MLIST!D36</f>
        <v>Microwave - NR</v>
      </c>
      <c r="C36" s="30">
        <f t="shared" si="1"/>
        <v>0.1111111111111111</v>
      </c>
      <c r="D36" s="30">
        <f t="shared" si="1"/>
        <v>0.1111111111111111</v>
      </c>
      <c r="E36" s="30">
        <f t="shared" si="1"/>
        <v>0.1111111111111111</v>
      </c>
      <c r="F36" s="30">
        <f t="shared" si="1"/>
        <v>0.1111111111111111</v>
      </c>
      <c r="G36" s="30">
        <f t="shared" si="1"/>
        <v>0.1111111111111111</v>
      </c>
      <c r="I36">
        <v>9</v>
      </c>
    </row>
    <row r="37" spans="2:10">
      <c r="B37" t="str">
        <f>MLIST!D37</f>
        <v>Monitor - New</v>
      </c>
      <c r="C37" s="30">
        <f t="shared" si="1"/>
        <v>1</v>
      </c>
      <c r="D37" s="30">
        <f t="shared" si="1"/>
        <v>1</v>
      </c>
      <c r="E37" s="30">
        <f t="shared" si="1"/>
        <v>1</v>
      </c>
      <c r="F37" s="30">
        <f t="shared" si="1"/>
        <v>1</v>
      </c>
      <c r="G37" s="30">
        <f t="shared" si="1"/>
        <v>1</v>
      </c>
    </row>
    <row r="38" spans="2:10">
      <c r="B38" t="str">
        <f>MLIST!D38</f>
        <v>Monitor - NR</v>
      </c>
      <c r="C38" s="30">
        <f t="shared" si="1"/>
        <v>0.2</v>
      </c>
      <c r="D38" s="30">
        <f t="shared" si="1"/>
        <v>0.2</v>
      </c>
      <c r="E38" s="30">
        <f t="shared" si="1"/>
        <v>0.2</v>
      </c>
      <c r="F38" s="30">
        <f t="shared" si="1"/>
        <v>0.2</v>
      </c>
      <c r="G38" s="30">
        <f t="shared" si="1"/>
        <v>0.2</v>
      </c>
      <c r="I38">
        <v>5</v>
      </c>
    </row>
    <row r="39" spans="2:10">
      <c r="B39" t="str">
        <f>MLIST!D39</f>
        <v>Desktop - New</v>
      </c>
      <c r="C39" s="30">
        <f t="shared" si="1"/>
        <v>1</v>
      </c>
      <c r="D39" s="30">
        <f t="shared" si="1"/>
        <v>1</v>
      </c>
      <c r="E39" s="30">
        <f t="shared" si="1"/>
        <v>1</v>
      </c>
      <c r="F39" s="30">
        <f t="shared" si="1"/>
        <v>1</v>
      </c>
      <c r="G39" s="30">
        <f t="shared" si="1"/>
        <v>1</v>
      </c>
    </row>
    <row r="40" spans="2:10">
      <c r="B40" t="str">
        <f>MLIST!D40</f>
        <v>Desktop - NR</v>
      </c>
      <c r="C40" s="30">
        <f t="shared" si="1"/>
        <v>0.25</v>
      </c>
      <c r="D40" s="30">
        <f t="shared" si="1"/>
        <v>0.25</v>
      </c>
      <c r="E40" s="30">
        <f t="shared" si="1"/>
        <v>0.25</v>
      </c>
      <c r="F40" s="30">
        <f t="shared" si="1"/>
        <v>0.25</v>
      </c>
      <c r="G40" s="30">
        <f t="shared" si="1"/>
        <v>0.25</v>
      </c>
      <c r="I40">
        <v>4</v>
      </c>
    </row>
    <row r="41" spans="2:10">
      <c r="B41" t="str">
        <f>MLIST!D41</f>
        <v>Laptop - New</v>
      </c>
      <c r="C41" s="30">
        <f t="shared" si="1"/>
        <v>1</v>
      </c>
      <c r="D41" s="30">
        <f t="shared" si="1"/>
        <v>1</v>
      </c>
      <c r="E41" s="30">
        <f t="shared" si="1"/>
        <v>1</v>
      </c>
      <c r="F41" s="30">
        <f t="shared" si="1"/>
        <v>1</v>
      </c>
      <c r="G41" s="30">
        <f t="shared" si="1"/>
        <v>1</v>
      </c>
    </row>
    <row r="42" spans="2:10">
      <c r="B42" t="str">
        <f>MLIST!D42</f>
        <v>Laptop - NR</v>
      </c>
      <c r="C42" s="30">
        <f t="shared" si="1"/>
        <v>0.25</v>
      </c>
      <c r="D42" s="30">
        <f t="shared" si="1"/>
        <v>0.25</v>
      </c>
      <c r="E42" s="30">
        <f t="shared" si="1"/>
        <v>0.25</v>
      </c>
      <c r="F42" s="30">
        <f t="shared" si="1"/>
        <v>0.25</v>
      </c>
      <c r="G42" s="30">
        <f t="shared" si="1"/>
        <v>0.25</v>
      </c>
      <c r="I42">
        <v>4</v>
      </c>
    </row>
    <row r="43" spans="2:10">
      <c r="B43" t="str">
        <f>MLIST!D43</f>
        <v>Computer - New</v>
      </c>
      <c r="C43" s="30">
        <f t="shared" si="1"/>
        <v>1</v>
      </c>
      <c r="D43" s="30">
        <f t="shared" si="1"/>
        <v>1</v>
      </c>
      <c r="E43" s="30">
        <f t="shared" si="1"/>
        <v>1</v>
      </c>
      <c r="F43" s="30">
        <f t="shared" si="1"/>
        <v>1</v>
      </c>
      <c r="G43" s="30">
        <f t="shared" si="1"/>
        <v>1</v>
      </c>
    </row>
    <row r="44" spans="2:10">
      <c r="B44" t="str">
        <f>MLIST!D44</f>
        <v>Computer - NR</v>
      </c>
      <c r="C44" s="30">
        <f t="shared" si="1"/>
        <v>0.25</v>
      </c>
      <c r="D44" s="30">
        <f t="shared" si="1"/>
        <v>0.25</v>
      </c>
      <c r="E44" s="30">
        <f t="shared" si="1"/>
        <v>0.25</v>
      </c>
      <c r="F44" s="30">
        <f t="shared" si="1"/>
        <v>0.25</v>
      </c>
      <c r="G44" s="30">
        <f t="shared" si="1"/>
        <v>0.25</v>
      </c>
      <c r="I44">
        <v>4</v>
      </c>
    </row>
    <row r="45" spans="2:10">
      <c r="B45" t="str">
        <f>MLIST!D45</f>
        <v>ASHP - New</v>
      </c>
      <c r="C45" s="30">
        <f t="shared" si="1"/>
        <v>1</v>
      </c>
      <c r="D45" s="30">
        <f t="shared" si="1"/>
        <v>1</v>
      </c>
      <c r="E45" s="30">
        <f t="shared" si="1"/>
        <v>1</v>
      </c>
      <c r="F45" s="30">
        <f t="shared" si="1"/>
        <v>1</v>
      </c>
      <c r="G45" s="30">
        <f t="shared" si="1"/>
        <v>1</v>
      </c>
    </row>
    <row r="46" spans="2:10">
      <c r="B46" t="str">
        <f>MLIST!D46</f>
        <v>ASHP - NR</v>
      </c>
      <c r="C46" s="30">
        <f t="shared" si="1"/>
        <v>6.6666666666666666E-2</v>
      </c>
      <c r="D46" s="30">
        <f t="shared" si="1"/>
        <v>6.6666666666666666E-2</v>
      </c>
      <c r="E46" s="30">
        <f t="shared" si="1"/>
        <v>6.6666666666666666E-2</v>
      </c>
      <c r="F46" s="30">
        <f t="shared" si="1"/>
        <v>6.6666666666666666E-2</v>
      </c>
      <c r="G46" s="30">
        <f t="shared" si="1"/>
        <v>6.6666666666666666E-2</v>
      </c>
      <c r="I46">
        <v>15</v>
      </c>
    </row>
    <row r="47" spans="2:10">
      <c r="B47" t="str">
        <f>MLIST!D47</f>
        <v>HP - Retro</v>
      </c>
      <c r="C47" s="30" t="str">
        <f t="shared" si="1"/>
        <v/>
      </c>
      <c r="D47" s="30" t="str">
        <f t="shared" si="1"/>
        <v/>
      </c>
      <c r="E47" s="30" t="str">
        <f t="shared" si="1"/>
        <v/>
      </c>
      <c r="F47" s="30" t="str">
        <f t="shared" si="1"/>
        <v/>
      </c>
      <c r="G47" s="30" t="str">
        <f t="shared" si="1"/>
        <v/>
      </c>
    </row>
    <row r="48" spans="2:10">
      <c r="B48" t="str">
        <f>MLIST!D48</f>
        <v>DHP - New</v>
      </c>
      <c r="C48" s="30">
        <f t="shared" si="1"/>
        <v>1</v>
      </c>
      <c r="D48" s="30">
        <f t="shared" si="1"/>
        <v>1</v>
      </c>
      <c r="E48" s="30">
        <f t="shared" si="1"/>
        <v>1</v>
      </c>
      <c r="F48" s="30">
        <f t="shared" si="1"/>
        <v>1</v>
      </c>
      <c r="G48" s="30">
        <f t="shared" si="1"/>
        <v>1</v>
      </c>
      <c r="I48">
        <v>15</v>
      </c>
      <c r="J48">
        <v>15</v>
      </c>
    </row>
    <row r="49" spans="2:10">
      <c r="B49" t="str">
        <f>MLIST!D49</f>
        <v>DHP - NR</v>
      </c>
      <c r="C49" s="30">
        <f t="shared" si="1"/>
        <v>6.6666666666666666E-2</v>
      </c>
      <c r="D49" s="30">
        <f t="shared" si="1"/>
        <v>6.6666666666666666E-2</v>
      </c>
      <c r="E49" s="30">
        <f t="shared" si="1"/>
        <v>6.6666666666666666E-2</v>
      </c>
      <c r="F49" s="30">
        <f t="shared" si="1"/>
        <v>6.6666666666666666E-2</v>
      </c>
      <c r="G49" s="30">
        <f t="shared" si="1"/>
        <v>6.6666666666666666E-2</v>
      </c>
      <c r="I49">
        <v>15</v>
      </c>
      <c r="J49">
        <v>15</v>
      </c>
    </row>
    <row r="50" spans="2:10">
      <c r="B50" t="str">
        <f>MLIST!D50</f>
        <v>DHP - Retro</v>
      </c>
      <c r="C50" s="30" t="str">
        <f t="shared" si="1"/>
        <v/>
      </c>
      <c r="D50" s="30" t="str">
        <f t="shared" si="1"/>
        <v/>
      </c>
      <c r="E50" s="30" t="str">
        <f t="shared" si="1"/>
        <v/>
      </c>
      <c r="F50" s="30" t="str">
        <f t="shared" si="1"/>
        <v/>
      </c>
      <c r="G50" s="30" t="str">
        <f t="shared" si="1"/>
        <v/>
      </c>
    </row>
    <row r="51" spans="2:10">
      <c r="B51" t="str">
        <f>MLIST!D51</f>
        <v>Duct Sealing - New</v>
      </c>
      <c r="C51" s="30">
        <f t="shared" si="1"/>
        <v>1</v>
      </c>
      <c r="D51" s="30">
        <f t="shared" si="1"/>
        <v>1</v>
      </c>
      <c r="E51" s="30">
        <f t="shared" si="1"/>
        <v>1</v>
      </c>
      <c r="F51" s="30">
        <f t="shared" si="1"/>
        <v>1</v>
      </c>
      <c r="G51" s="30">
        <f t="shared" si="1"/>
        <v>1</v>
      </c>
    </row>
    <row r="52" spans="2:10">
      <c r="B52" t="str">
        <f>MLIST!D52</f>
        <v>Duct Sealing - Retro</v>
      </c>
      <c r="C52" s="30" t="str">
        <f t="shared" si="1"/>
        <v/>
      </c>
      <c r="D52" s="30" t="str">
        <f t="shared" si="1"/>
        <v/>
      </c>
      <c r="E52" s="30" t="str">
        <f t="shared" si="1"/>
        <v/>
      </c>
      <c r="F52" s="30" t="str">
        <f t="shared" si="1"/>
        <v/>
      </c>
      <c r="G52" s="30" t="str">
        <f t="shared" si="1"/>
        <v/>
      </c>
    </row>
    <row r="53" spans="2:10">
      <c r="B53" t="str">
        <f>MLIST!D53</f>
        <v>WIFI enabled tstats - New</v>
      </c>
      <c r="C53" s="30">
        <f t="shared" si="1"/>
        <v>1</v>
      </c>
      <c r="D53" s="30">
        <f t="shared" si="1"/>
        <v>1</v>
      </c>
      <c r="E53" s="30">
        <f t="shared" si="1"/>
        <v>1</v>
      </c>
      <c r="F53" s="30">
        <f t="shared" si="1"/>
        <v>1</v>
      </c>
      <c r="G53" s="30">
        <f t="shared" si="1"/>
        <v>1</v>
      </c>
    </row>
    <row r="54" spans="2:10">
      <c r="B54" t="str">
        <f>MLIST!D54</f>
        <v>WIFI enabled tstats - Retro</v>
      </c>
      <c r="C54" s="30" t="str">
        <f t="shared" si="1"/>
        <v/>
      </c>
      <c r="D54" s="30" t="str">
        <f t="shared" si="1"/>
        <v/>
      </c>
      <c r="E54" s="30" t="str">
        <f t="shared" si="1"/>
        <v/>
      </c>
      <c r="F54" s="30" t="str">
        <f t="shared" si="1"/>
        <v/>
      </c>
      <c r="G54" s="30" t="str">
        <f t="shared" si="1"/>
        <v/>
      </c>
    </row>
    <row r="55" spans="2:10">
      <c r="B55" t="str">
        <f>MLIST!D55</f>
        <v>Combo DHP/HPWH units - New</v>
      </c>
      <c r="C55" s="30">
        <f t="shared" si="1"/>
        <v>1</v>
      </c>
      <c r="D55" s="30">
        <f t="shared" si="1"/>
        <v>1</v>
      </c>
      <c r="E55" s="30">
        <f t="shared" si="1"/>
        <v>1</v>
      </c>
      <c r="F55" s="30">
        <f t="shared" si="1"/>
        <v>1</v>
      </c>
      <c r="G55" s="30">
        <f t="shared" si="1"/>
        <v>1</v>
      </c>
    </row>
    <row r="56" spans="2:10">
      <c r="B56" t="str">
        <f>MLIST!D56</f>
        <v>Combo DHP/HPWH units - NR</v>
      </c>
      <c r="C56" s="30" t="e">
        <f t="shared" si="1"/>
        <v>#DIV/0!</v>
      </c>
      <c r="D56" s="30" t="e">
        <f t="shared" si="1"/>
        <v>#DIV/0!</v>
      </c>
      <c r="E56" s="30" t="e">
        <f t="shared" si="1"/>
        <v>#DIV/0!</v>
      </c>
      <c r="F56" s="30" t="e">
        <f t="shared" si="1"/>
        <v>#DIV/0!</v>
      </c>
      <c r="G56" s="30" t="e">
        <f t="shared" si="1"/>
        <v>#DIV/0!</v>
      </c>
    </row>
    <row r="57" spans="2:10">
      <c r="B57" t="str">
        <f>MLIST!D57</f>
        <v>Combo DHP/HPWH units - Retro</v>
      </c>
      <c r="C57" s="30" t="str">
        <f t="shared" si="1"/>
        <v/>
      </c>
      <c r="D57" s="30" t="str">
        <f t="shared" si="1"/>
        <v/>
      </c>
      <c r="E57" s="30" t="str">
        <f t="shared" si="1"/>
        <v/>
      </c>
      <c r="F57" s="30" t="str">
        <f t="shared" si="1"/>
        <v/>
      </c>
      <c r="G57" s="30" t="str">
        <f t="shared" ref="D57:G72" si="2">IF(RIGHT($B57,2)="NR",1/$I57,IF(RIGHT($B57,2)="ew",100%,""))</f>
        <v/>
      </c>
    </row>
    <row r="58" spans="2:10">
      <c r="B58" t="str">
        <f>MLIST!D58</f>
        <v>Aerator - New</v>
      </c>
      <c r="C58" s="30">
        <f t="shared" si="1"/>
        <v>1</v>
      </c>
      <c r="D58" s="30">
        <f t="shared" si="2"/>
        <v>1</v>
      </c>
      <c r="E58" s="30">
        <f t="shared" si="2"/>
        <v>1</v>
      </c>
      <c r="F58" s="30">
        <f t="shared" si="2"/>
        <v>1</v>
      </c>
      <c r="G58" s="30">
        <f t="shared" si="2"/>
        <v>1</v>
      </c>
    </row>
    <row r="59" spans="2:10">
      <c r="B59" t="str">
        <f>MLIST!D59</f>
        <v>Aerator - Retro</v>
      </c>
      <c r="C59" s="30" t="str">
        <f t="shared" si="1"/>
        <v/>
      </c>
      <c r="D59" s="30" t="str">
        <f t="shared" si="2"/>
        <v/>
      </c>
      <c r="E59" s="30" t="str">
        <f t="shared" si="2"/>
        <v/>
      </c>
      <c r="F59" s="30" t="str">
        <f t="shared" si="2"/>
        <v/>
      </c>
      <c r="G59" s="30" t="str">
        <f t="shared" si="2"/>
        <v/>
      </c>
    </row>
    <row r="60" spans="2:10">
      <c r="B60" t="str">
        <f>MLIST!D60</f>
        <v>Behavior - Retro</v>
      </c>
      <c r="C60" s="30" t="str">
        <f t="shared" si="1"/>
        <v/>
      </c>
      <c r="D60" s="30" t="str">
        <f t="shared" si="2"/>
        <v/>
      </c>
      <c r="E60" s="30" t="str">
        <f t="shared" si="2"/>
        <v/>
      </c>
      <c r="F60" s="30" t="str">
        <f t="shared" si="2"/>
        <v/>
      </c>
      <c r="G60" s="30" t="str">
        <f t="shared" si="2"/>
        <v/>
      </c>
    </row>
    <row r="61" spans="2:10">
      <c r="B61" t="str">
        <f>MLIST!D61</f>
        <v>Behavior - New</v>
      </c>
      <c r="C61" s="30">
        <f t="shared" si="1"/>
        <v>1</v>
      </c>
      <c r="D61" s="30">
        <f t="shared" si="2"/>
        <v>1</v>
      </c>
      <c r="E61" s="30">
        <f t="shared" si="2"/>
        <v>1</v>
      </c>
      <c r="F61" s="30">
        <f t="shared" si="2"/>
        <v>1</v>
      </c>
      <c r="G61" s="30">
        <f t="shared" si="2"/>
        <v>1</v>
      </c>
    </row>
    <row r="62" spans="2:10">
      <c r="B62">
        <f>MLIST!D62</f>
        <v>0</v>
      </c>
      <c r="C62" s="30" t="str">
        <f t="shared" si="1"/>
        <v/>
      </c>
      <c r="D62" s="30" t="str">
        <f t="shared" si="2"/>
        <v/>
      </c>
      <c r="E62" s="30" t="str">
        <f t="shared" si="2"/>
        <v/>
      </c>
      <c r="F62" s="30" t="str">
        <f t="shared" si="2"/>
        <v/>
      </c>
      <c r="G62" s="30" t="str">
        <f t="shared" si="2"/>
        <v/>
      </c>
    </row>
    <row r="63" spans="2:10">
      <c r="B63" t="str">
        <f>MLIST!D63</f>
        <v>Heat Recovery Ventilation - New</v>
      </c>
      <c r="C63" s="30">
        <f t="shared" si="1"/>
        <v>1</v>
      </c>
      <c r="D63" s="30">
        <f t="shared" si="2"/>
        <v>1</v>
      </c>
      <c r="E63" s="30">
        <f t="shared" si="2"/>
        <v>1</v>
      </c>
      <c r="F63" s="30">
        <f t="shared" si="2"/>
        <v>1</v>
      </c>
      <c r="G63" s="30">
        <f t="shared" si="2"/>
        <v>1</v>
      </c>
    </row>
    <row r="64" spans="2:10">
      <c r="B64" t="str">
        <f>MLIST!D64</f>
        <v>GSHP - New</v>
      </c>
      <c r="C64" s="30">
        <f t="shared" si="1"/>
        <v>1</v>
      </c>
      <c r="D64" s="30">
        <f t="shared" si="2"/>
        <v>1</v>
      </c>
      <c r="E64" s="30">
        <f t="shared" si="2"/>
        <v>1</v>
      </c>
      <c r="F64" s="30">
        <f t="shared" si="2"/>
        <v>1</v>
      </c>
      <c r="G64" s="30">
        <f t="shared" si="2"/>
        <v>1</v>
      </c>
      <c r="I64">
        <v>15</v>
      </c>
      <c r="J64">
        <v>20</v>
      </c>
    </row>
    <row r="65" spans="2:10">
      <c r="B65" t="str">
        <f>MLIST!D65</f>
        <v>GSHP - NR</v>
      </c>
      <c r="C65" s="30">
        <f t="shared" si="1"/>
        <v>6.6666666666666666E-2</v>
      </c>
      <c r="D65" s="30">
        <f t="shared" si="2"/>
        <v>6.6666666666666666E-2</v>
      </c>
      <c r="E65" s="30">
        <f t="shared" si="2"/>
        <v>6.6666666666666666E-2</v>
      </c>
      <c r="F65" s="30">
        <f t="shared" si="2"/>
        <v>6.6666666666666666E-2</v>
      </c>
      <c r="G65" s="30">
        <f t="shared" si="2"/>
        <v>6.6666666666666666E-2</v>
      </c>
      <c r="I65">
        <v>15</v>
      </c>
      <c r="J65">
        <v>20</v>
      </c>
    </row>
    <row r="66" spans="2:10">
      <c r="B66">
        <f>MLIST!D66</f>
        <v>0</v>
      </c>
      <c r="C66" s="30" t="str">
        <f t="shared" si="1"/>
        <v/>
      </c>
      <c r="D66" s="30" t="str">
        <f t="shared" si="2"/>
        <v/>
      </c>
      <c r="E66" s="30" t="str">
        <f t="shared" si="2"/>
        <v/>
      </c>
      <c r="F66" s="30" t="str">
        <f t="shared" si="2"/>
        <v/>
      </c>
      <c r="G66" s="30" t="str">
        <f t="shared" si="2"/>
        <v/>
      </c>
    </row>
    <row r="67" spans="2:10">
      <c r="B67" t="str">
        <f>MLIST!D67</f>
        <v>ECM for HVAC ventilation - New</v>
      </c>
      <c r="C67" s="30">
        <f t="shared" si="1"/>
        <v>1</v>
      </c>
      <c r="D67" s="30">
        <f t="shared" si="2"/>
        <v>1</v>
      </c>
      <c r="E67" s="30">
        <f t="shared" si="2"/>
        <v>1</v>
      </c>
      <c r="F67" s="30">
        <f t="shared" si="2"/>
        <v>1</v>
      </c>
      <c r="G67" s="30">
        <f t="shared" si="2"/>
        <v>1</v>
      </c>
    </row>
    <row r="68" spans="2:10">
      <c r="B68" t="str">
        <f>MLIST!D68</f>
        <v>ECM for HVAC ventilation - NR</v>
      </c>
      <c r="C68" s="30" t="e">
        <f t="shared" si="1"/>
        <v>#DIV/0!</v>
      </c>
      <c r="D68" s="30" t="e">
        <f t="shared" si="2"/>
        <v>#DIV/0!</v>
      </c>
      <c r="E68" s="30" t="e">
        <f t="shared" si="2"/>
        <v>#DIV/0!</v>
      </c>
      <c r="F68" s="30" t="e">
        <f t="shared" si="2"/>
        <v>#DIV/0!</v>
      </c>
      <c r="G68" s="30" t="e">
        <f t="shared" si="2"/>
        <v>#DIV/0!</v>
      </c>
    </row>
    <row r="69" spans="2:10">
      <c r="B69" t="str">
        <f>MLIST!D69</f>
        <v>Whole house/attic fan - New</v>
      </c>
      <c r="C69" s="30">
        <f t="shared" si="1"/>
        <v>1</v>
      </c>
      <c r="D69" s="30">
        <f t="shared" si="2"/>
        <v>1</v>
      </c>
      <c r="E69" s="30">
        <f t="shared" si="2"/>
        <v>1</v>
      </c>
      <c r="F69" s="30">
        <f t="shared" si="2"/>
        <v>1</v>
      </c>
      <c r="G69" s="30">
        <f t="shared" si="2"/>
        <v>1</v>
      </c>
    </row>
    <row r="70" spans="2:10">
      <c r="B70" t="str">
        <f>MLIST!D70</f>
        <v>Whole house/attic fan - Retro</v>
      </c>
      <c r="C70" s="30" t="str">
        <f t="shared" si="1"/>
        <v/>
      </c>
      <c r="D70" s="30" t="str">
        <f t="shared" si="2"/>
        <v/>
      </c>
      <c r="E70" s="30" t="str">
        <f t="shared" si="2"/>
        <v/>
      </c>
      <c r="F70" s="30" t="str">
        <f t="shared" si="2"/>
        <v/>
      </c>
      <c r="G70" s="30" t="str">
        <f t="shared" si="2"/>
        <v/>
      </c>
    </row>
    <row r="71" spans="2:10">
      <c r="B71" t="str">
        <f>MLIST!D71</f>
        <v>WH Pipe insulation - Retro</v>
      </c>
      <c r="C71" s="30" t="str">
        <f t="shared" si="1"/>
        <v/>
      </c>
      <c r="D71" s="30" t="str">
        <f t="shared" si="2"/>
        <v/>
      </c>
      <c r="E71" s="30" t="str">
        <f t="shared" si="2"/>
        <v/>
      </c>
      <c r="F71" s="30" t="str">
        <f t="shared" si="2"/>
        <v/>
      </c>
      <c r="G71" s="30" t="str">
        <f t="shared" si="2"/>
        <v/>
      </c>
    </row>
    <row r="72" spans="2:10">
      <c r="B72" t="str">
        <f>MLIST!D72</f>
        <v>DHP Ducted - NR</v>
      </c>
      <c r="C72" s="30">
        <f t="shared" si="1"/>
        <v>6.6666666666666666E-2</v>
      </c>
      <c r="D72" s="30">
        <f t="shared" si="2"/>
        <v>6.6666666666666666E-2</v>
      </c>
      <c r="E72" s="30">
        <f t="shared" si="2"/>
        <v>6.6666666666666666E-2</v>
      </c>
      <c r="F72" s="30">
        <f t="shared" si="2"/>
        <v>6.6666666666666666E-2</v>
      </c>
      <c r="G72" s="30">
        <f t="shared" si="2"/>
        <v>6.6666666666666666E-2</v>
      </c>
      <c r="I72">
        <v>15</v>
      </c>
      <c r="J72">
        <v>15</v>
      </c>
    </row>
    <row r="73" spans="2:10">
      <c r="B73" t="str">
        <f>MLIST!D73</f>
        <v>Advanced Power Strips - New</v>
      </c>
      <c r="C73" s="30">
        <f t="shared" si="1"/>
        <v>1</v>
      </c>
      <c r="D73" s="30">
        <f t="shared" ref="D73:G73" si="3">IF(RIGHT($B73,2)="NR",1/$I73,IF(RIGHT($B73,2)="ew",100%,""))</f>
        <v>1</v>
      </c>
      <c r="E73" s="30">
        <f t="shared" si="3"/>
        <v>1</v>
      </c>
      <c r="F73" s="30">
        <f t="shared" si="3"/>
        <v>1</v>
      </c>
      <c r="G73" s="30">
        <f t="shared" si="3"/>
        <v>1</v>
      </c>
    </row>
    <row r="74" spans="2:10">
      <c r="B74" t="str">
        <f>MLIST!D74</f>
        <v>Advanced Power Strips - Retro</v>
      </c>
      <c r="C74" s="30" t="str">
        <f t="shared" ref="C74:G77" si="4">IF(RIGHT($B74,2)="NR",1/$I74,IF(RIGHT($B74,2)="ew",100%,""))</f>
        <v/>
      </c>
      <c r="D74" s="30" t="str">
        <f t="shared" si="4"/>
        <v/>
      </c>
      <c r="E74" s="30" t="str">
        <f t="shared" si="4"/>
        <v/>
      </c>
      <c r="F74" s="30" t="str">
        <f t="shared" si="4"/>
        <v/>
      </c>
      <c r="G74" s="30" t="str">
        <f t="shared" si="4"/>
        <v/>
      </c>
    </row>
    <row r="75" spans="2:10">
      <c r="B75" t="str">
        <f>MLIST!D75</f>
        <v>Controls Commissioning and Sizing - New</v>
      </c>
      <c r="C75" s="30">
        <f t="shared" si="4"/>
        <v>1</v>
      </c>
      <c r="D75" s="30">
        <f t="shared" si="4"/>
        <v>1</v>
      </c>
      <c r="E75" s="30">
        <f t="shared" si="4"/>
        <v>1</v>
      </c>
      <c r="F75" s="30">
        <f t="shared" si="4"/>
        <v>1</v>
      </c>
      <c r="G75" s="30">
        <f t="shared" si="4"/>
        <v>1</v>
      </c>
    </row>
    <row r="76" spans="2:10">
      <c r="B76" t="str">
        <f>MLIST!D76</f>
        <v>Controls Commissioning and Sizing - NR</v>
      </c>
      <c r="C76" s="30">
        <f t="shared" si="4"/>
        <v>6.6666666666666666E-2</v>
      </c>
      <c r="D76" s="30">
        <f t="shared" si="4"/>
        <v>6.6666666666666666E-2</v>
      </c>
      <c r="E76" s="30">
        <f t="shared" si="4"/>
        <v>6.6666666666666666E-2</v>
      </c>
      <c r="F76" s="30">
        <f t="shared" si="4"/>
        <v>6.6666666666666666E-2</v>
      </c>
      <c r="G76" s="30">
        <f t="shared" si="4"/>
        <v>6.6666666666666666E-2</v>
      </c>
      <c r="I76">
        <v>15</v>
      </c>
      <c r="J76">
        <v>15</v>
      </c>
    </row>
    <row r="77" spans="2:10">
      <c r="B77" t="str">
        <f>MLIST!D77</f>
        <v>ResWx - Retro</v>
      </c>
      <c r="C77" s="30" t="str">
        <f t="shared" si="4"/>
        <v/>
      </c>
      <c r="D77" s="30" t="str">
        <f t="shared" si="4"/>
        <v/>
      </c>
      <c r="E77" s="30" t="str">
        <f t="shared" si="4"/>
        <v/>
      </c>
      <c r="F77" s="30" t="str">
        <f t="shared" si="4"/>
        <v/>
      </c>
      <c r="G77" s="30" t="str">
        <f t="shared" si="4"/>
        <v/>
      </c>
    </row>
    <row r="78" spans="2:10">
      <c r="C78" s="30"/>
      <c r="D78" s="30"/>
      <c r="E78" s="30"/>
      <c r="F78" s="30"/>
    </row>
    <row r="79" spans="2:10">
      <c r="C79" s="30"/>
      <c r="D79" s="30"/>
      <c r="E79" s="30"/>
      <c r="F79" s="30"/>
    </row>
    <row r="80" spans="2:10">
      <c r="C80" s="30"/>
      <c r="D80" s="30"/>
      <c r="E80" s="30"/>
      <c r="F80" s="30"/>
    </row>
    <row r="81" spans="3:6">
      <c r="C81" s="30"/>
      <c r="D81" s="30"/>
      <c r="E81" s="30"/>
      <c r="F81" s="30"/>
    </row>
    <row r="82" spans="3:6">
      <c r="C82" s="30"/>
      <c r="D82" s="30"/>
      <c r="E82" s="30"/>
      <c r="F82" s="30"/>
    </row>
    <row r="83" spans="3:6">
      <c r="C83" s="30"/>
      <c r="D83" s="30"/>
      <c r="E83" s="30"/>
      <c r="F83" s="30"/>
    </row>
    <row r="84" spans="3:6">
      <c r="C84" s="30"/>
      <c r="D84" s="30"/>
      <c r="E84" s="30"/>
      <c r="F84" s="30"/>
    </row>
    <row r="85" spans="3:6">
      <c r="C85" s="30"/>
      <c r="D85" s="30"/>
      <c r="E85" s="30"/>
      <c r="F85" s="30"/>
    </row>
    <row r="86" spans="3:6">
      <c r="C86" s="30"/>
      <c r="D86" s="30"/>
      <c r="E86" s="30"/>
      <c r="F86" s="30"/>
    </row>
    <row r="87" spans="3:6">
      <c r="C87" s="30"/>
      <c r="D87" s="30"/>
      <c r="E87" s="30"/>
      <c r="F87" s="30"/>
    </row>
    <row r="88" spans="3:6">
      <c r="C88" s="30"/>
      <c r="D88" s="30"/>
      <c r="E88" s="30"/>
      <c r="F88" s="30"/>
    </row>
    <row r="89" spans="3:6">
      <c r="C89" s="30"/>
      <c r="D89" s="30"/>
      <c r="E89" s="30"/>
      <c r="F89" s="30"/>
    </row>
    <row r="90" spans="3:6">
      <c r="C90" s="30"/>
      <c r="D90" s="30"/>
      <c r="E90" s="30"/>
      <c r="F90" s="30"/>
    </row>
    <row r="91" spans="3:6">
      <c r="C91" s="30"/>
      <c r="D91" s="30"/>
      <c r="E91" s="30"/>
      <c r="F91" s="30"/>
    </row>
    <row r="92" spans="3:6">
      <c r="C92" s="30"/>
      <c r="D92" s="30"/>
      <c r="E92" s="30"/>
      <c r="F92" s="30"/>
    </row>
    <row r="93" spans="3:6">
      <c r="C93" s="30"/>
      <c r="D93" s="30"/>
      <c r="E93" s="30"/>
      <c r="F93" s="30"/>
    </row>
    <row r="94" spans="3:6">
      <c r="C94" s="30"/>
      <c r="D94" s="30"/>
      <c r="E94" s="30"/>
      <c r="F94" s="30"/>
    </row>
    <row r="95" spans="3:6">
      <c r="C95" s="30"/>
      <c r="D95" s="30"/>
      <c r="E95" s="30"/>
      <c r="F95" s="30"/>
    </row>
    <row r="96" spans="3:6">
      <c r="C96" s="30"/>
      <c r="D96" s="30"/>
      <c r="E96" s="30"/>
      <c r="F96" s="30"/>
    </row>
    <row r="97" spans="3:6">
      <c r="C97" s="30"/>
      <c r="D97" s="30"/>
      <c r="E97" s="30"/>
      <c r="F97" s="30"/>
    </row>
    <row r="98" spans="3:6">
      <c r="C98" s="30"/>
      <c r="D98" s="30"/>
      <c r="E98" s="30"/>
      <c r="F98" s="30"/>
    </row>
    <row r="99" spans="3:6">
      <c r="C99" s="30"/>
      <c r="D99" s="30"/>
      <c r="E99" s="30"/>
      <c r="F99" s="30"/>
    </row>
    <row r="100" spans="3:6">
      <c r="C100" s="30"/>
      <c r="D100" s="30"/>
      <c r="E100" s="30"/>
      <c r="F100" s="30"/>
    </row>
    <row r="101" spans="3:6">
      <c r="C101" s="30"/>
      <c r="D101" s="30"/>
      <c r="E101" s="30"/>
      <c r="F101" s="30"/>
    </row>
    <row r="102" spans="3:6">
      <c r="C102" s="30"/>
      <c r="D102" s="30"/>
      <c r="E102" s="30"/>
      <c r="F102" s="30"/>
    </row>
    <row r="103" spans="3:6">
      <c r="C103" s="30"/>
      <c r="D103" s="30"/>
      <c r="E103" s="30"/>
      <c r="F103" s="30"/>
    </row>
    <row r="104" spans="3:6">
      <c r="C104" s="30"/>
      <c r="D104" s="30"/>
      <c r="E104" s="30"/>
      <c r="F104" s="30"/>
    </row>
  </sheetData>
  <phoneticPr fontId="0"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Overview</vt:lpstr>
      <vt:lpstr>Update Log</vt:lpstr>
      <vt:lpstr>MLIST</vt:lpstr>
      <vt:lpstr>FILES</vt:lpstr>
      <vt:lpstr>APPLIC</vt:lpstr>
      <vt:lpstr>FEAS</vt:lpstr>
      <vt:lpstr>BASE</vt:lpstr>
      <vt:lpstr>STOCK</vt:lpstr>
      <vt:lpstr>TURN</vt:lpstr>
      <vt:lpstr>ACHIEV</vt:lpstr>
      <vt:lpstr>CODE</vt:lpstr>
      <vt:lpstr>SATS</vt:lpstr>
      <vt:lpstr>Bldgs</vt:lpstr>
      <vt:lpstr>Vars</vt:lpstr>
      <vt:lpstr>taxonomy</vt:lpstr>
      <vt:lpstr>Lookup</vt:lpstr>
      <vt:lpstr>UEC</vt:lpstr>
      <vt:lpstr>Tracking Status</vt:lpstr>
      <vt:lpstr>ExistingSat</vt:lpstr>
      <vt:lpstr>Forecasts</vt:lpstr>
      <vt:lpstr>NewSat</vt:lpstr>
      <vt:lpstr>FEAS!Print_Area</vt:lpstr>
      <vt:lpstr>SATS!Print_Area</vt:lpstr>
      <vt:lpstr>ResApplic</vt:lpstr>
    </vt:vector>
  </TitlesOfParts>
  <Company>NW Power Planning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Tina Jayaweera</cp:lastModifiedBy>
  <cp:lastPrinted>2005-01-31T16:50:04Z</cp:lastPrinted>
  <dcterms:created xsi:type="dcterms:W3CDTF">2003-01-30T22:25:59Z</dcterms:created>
  <dcterms:modified xsi:type="dcterms:W3CDTF">2015-03-26T19:15:48Z</dcterms:modified>
</cp:coreProperties>
</file>